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Задания 1-6" sheetId="1" r:id="rId1"/>
    <sheet name="Задание 7" sheetId="2" r:id="rId2"/>
    <sheet name="Задание 8" sheetId="4" r:id="rId3"/>
    <sheet name="Задание 9" sheetId="6" r:id="rId4"/>
  </sheets>
  <calcPr calcId="152511"/>
</workbook>
</file>

<file path=xl/calcChain.xml><?xml version="1.0" encoding="utf-8"?>
<calcChain xmlns="http://schemas.openxmlformats.org/spreadsheetml/2006/main">
  <c r="B109" i="6" l="1"/>
  <c r="B108" i="6"/>
  <c r="B83" i="4"/>
  <c r="B82" i="4"/>
  <c r="E106" i="6"/>
  <c r="D43" i="6"/>
  <c r="D44" i="6"/>
  <c r="D45" i="6"/>
  <c r="D46" i="6"/>
  <c r="D47" i="6"/>
  <c r="D48" i="6"/>
  <c r="D49" i="6"/>
  <c r="D50" i="6"/>
  <c r="D42" i="6"/>
  <c r="D51" i="6" s="1"/>
  <c r="B110" i="6" l="1"/>
  <c r="G27" i="6" a="1"/>
  <c r="G27" i="6" s="1"/>
  <c r="G19" i="6" a="1"/>
  <c r="G19" i="6" s="1"/>
  <c r="I19" i="6" l="1"/>
  <c r="H19" i="6"/>
  <c r="G29" i="6"/>
  <c r="G28" i="6"/>
  <c r="H21" i="6"/>
  <c r="G20" i="6"/>
  <c r="G23" i="6" s="1" a="1"/>
  <c r="G21" i="6"/>
  <c r="I20" i="6"/>
  <c r="I21" i="6"/>
  <c r="H20" i="6"/>
  <c r="C72" i="4"/>
  <c r="C71" i="4"/>
  <c r="D62" i="4"/>
  <c r="F62" i="4" s="1"/>
  <c r="M19" i="4"/>
  <c r="M20" i="4"/>
  <c r="M21" i="4"/>
  <c r="M22" i="4"/>
  <c r="M23" i="4"/>
  <c r="M24" i="4"/>
  <c r="M25" i="4"/>
  <c r="M26" i="4"/>
  <c r="M18" i="4"/>
  <c r="C30" i="4"/>
  <c r="D61" i="4"/>
  <c r="B51" i="4"/>
  <c r="C22" i="4"/>
  <c r="B22" i="4"/>
  <c r="G23" i="6" l="1"/>
  <c r="I24" i="6"/>
  <c r="I25" i="6"/>
  <c r="H23" i="6"/>
  <c r="H24" i="6"/>
  <c r="H25" i="6"/>
  <c r="G24" i="6"/>
  <c r="I23" i="6"/>
  <c r="G25" i="6"/>
  <c r="B70" i="4"/>
  <c r="D63" i="4"/>
  <c r="D14" i="4"/>
  <c r="D13" i="4"/>
  <c r="G31" i="6" l="1" a="1"/>
  <c r="B84" i="4"/>
  <c r="C29" i="4"/>
  <c r="C28" i="4"/>
  <c r="C27" i="4"/>
  <c r="C26" i="4"/>
  <c r="C25" i="4"/>
  <c r="C24" i="4"/>
  <c r="C23" i="4"/>
  <c r="C31" i="4" s="1"/>
  <c r="B84" i="2"/>
  <c r="B83" i="2"/>
  <c r="B82" i="2"/>
  <c r="C72" i="2"/>
  <c r="C71" i="2"/>
  <c r="B70" i="2"/>
  <c r="D63" i="2"/>
  <c r="G62" i="2"/>
  <c r="F62" i="2"/>
  <c r="D62" i="2"/>
  <c r="D61" i="2"/>
  <c r="B52" i="2"/>
  <c r="B53" i="2"/>
  <c r="B54" i="2"/>
  <c r="B55" i="2"/>
  <c r="B56" i="2"/>
  <c r="B57" i="2"/>
  <c r="B58" i="2"/>
  <c r="B59" i="2"/>
  <c r="B51" i="2"/>
  <c r="B40" i="2"/>
  <c r="D32" i="2"/>
  <c r="C31" i="2"/>
  <c r="C23" i="2"/>
  <c r="C24" i="2"/>
  <c r="C25" i="2"/>
  <c r="C26" i="2"/>
  <c r="C27" i="2"/>
  <c r="C28" i="2"/>
  <c r="C29" i="2"/>
  <c r="C30" i="2"/>
  <c r="C22" i="2"/>
  <c r="B31" i="2"/>
  <c r="B23" i="2"/>
  <c r="B24" i="2"/>
  <c r="B25" i="2"/>
  <c r="B26" i="2"/>
  <c r="B27" i="2"/>
  <c r="B28" i="2"/>
  <c r="B29" i="2"/>
  <c r="B30" i="2"/>
  <c r="B22" i="2"/>
  <c r="D4" i="2"/>
  <c r="D5" i="2"/>
  <c r="D6" i="2"/>
  <c r="D7" i="2"/>
  <c r="D8" i="2"/>
  <c r="D9" i="2"/>
  <c r="D10" i="2"/>
  <c r="D11" i="2"/>
  <c r="D3" i="2"/>
  <c r="G31" i="6" l="1"/>
  <c r="G32" i="6"/>
  <c r="G33" i="6"/>
  <c r="D11" i="4"/>
  <c r="B59" i="4"/>
  <c r="B30" i="4"/>
  <c r="D6" i="4"/>
  <c r="D10" i="4"/>
  <c r="D4" i="4"/>
  <c r="D8" i="4"/>
  <c r="D5" i="4"/>
  <c r="D9" i="4"/>
  <c r="D3" i="4"/>
  <c r="D7" i="4"/>
  <c r="B60" i="2"/>
  <c r="D14" i="2"/>
  <c r="D13" i="2"/>
  <c r="B46" i="6" l="1"/>
  <c r="B50" i="6"/>
  <c r="B43" i="6"/>
  <c r="B47" i="6"/>
  <c r="B42" i="6"/>
  <c r="B44" i="6"/>
  <c r="B48" i="6"/>
  <c r="B45" i="6"/>
  <c r="B49" i="6"/>
  <c r="B57" i="4"/>
  <c r="B28" i="4"/>
  <c r="B53" i="4"/>
  <c r="B24" i="4"/>
  <c r="B58" i="4"/>
  <c r="B29" i="4"/>
  <c r="B52" i="4"/>
  <c r="B23" i="4"/>
  <c r="B55" i="4"/>
  <c r="B26" i="4"/>
  <c r="B56" i="4"/>
  <c r="B27" i="4"/>
  <c r="B54" i="4"/>
  <c r="B25" i="4"/>
  <c r="I66" i="1"/>
  <c r="I65" i="1"/>
  <c r="I64" i="1"/>
  <c r="I63" i="1"/>
  <c r="B66" i="1"/>
  <c r="B65" i="1"/>
  <c r="B64" i="1"/>
  <c r="B63" i="1"/>
  <c r="M53" i="1"/>
  <c r="M54" i="1"/>
  <c r="F54" i="1"/>
  <c r="F53" i="1"/>
  <c r="F47" i="1"/>
  <c r="C28" i="1"/>
  <c r="M47" i="1"/>
  <c r="M45" i="1"/>
  <c r="M46" i="1"/>
  <c r="L37" i="1"/>
  <c r="L38" i="1"/>
  <c r="L39" i="1"/>
  <c r="L40" i="1"/>
  <c r="L41" i="1"/>
  <c r="L42" i="1"/>
  <c r="L43" i="1"/>
  <c r="L44" i="1"/>
  <c r="M44" i="1" s="1"/>
  <c r="L36" i="1"/>
  <c r="J44" i="1"/>
  <c r="J43" i="1"/>
  <c r="M42" i="1"/>
  <c r="J42" i="1"/>
  <c r="M41" i="1"/>
  <c r="J41" i="1"/>
  <c r="J40" i="1"/>
  <c r="J39" i="1"/>
  <c r="M39" i="1" s="1"/>
  <c r="M38" i="1"/>
  <c r="J38" i="1"/>
  <c r="M37" i="1"/>
  <c r="J37" i="1"/>
  <c r="J36" i="1"/>
  <c r="F46" i="1"/>
  <c r="F45" i="1"/>
  <c r="F37" i="1"/>
  <c r="F38" i="1"/>
  <c r="F39" i="1"/>
  <c r="F40" i="1"/>
  <c r="F41" i="1"/>
  <c r="F42" i="1"/>
  <c r="F43" i="1"/>
  <c r="F44" i="1"/>
  <c r="F36" i="1"/>
  <c r="E37" i="1"/>
  <c r="E38" i="1"/>
  <c r="E39" i="1"/>
  <c r="E40" i="1"/>
  <c r="E41" i="1"/>
  <c r="E42" i="1"/>
  <c r="E43" i="1"/>
  <c r="E44" i="1"/>
  <c r="E36" i="1"/>
  <c r="C37" i="1"/>
  <c r="C38" i="1"/>
  <c r="C39" i="1"/>
  <c r="C40" i="1"/>
  <c r="C41" i="1"/>
  <c r="C42" i="1"/>
  <c r="C43" i="1"/>
  <c r="C44" i="1"/>
  <c r="C36" i="1"/>
  <c r="C11" i="1"/>
  <c r="D11" i="1"/>
  <c r="D13" i="1"/>
  <c r="D12" i="1"/>
  <c r="C29" i="1"/>
  <c r="C30" i="1"/>
  <c r="C13" i="1"/>
  <c r="K25" i="1"/>
  <c r="K17" i="1"/>
  <c r="K18" i="1"/>
  <c r="K19" i="1"/>
  <c r="K20" i="1"/>
  <c r="K21" i="1"/>
  <c r="K22" i="1"/>
  <c r="K23" i="1"/>
  <c r="K24" i="1"/>
  <c r="K16" i="1"/>
  <c r="C12" i="1"/>
  <c r="G25" i="1"/>
  <c r="G17" i="1"/>
  <c r="G18" i="1"/>
  <c r="G19" i="1"/>
  <c r="G20" i="1"/>
  <c r="G21" i="1"/>
  <c r="G22" i="1"/>
  <c r="G23" i="1"/>
  <c r="G24" i="1"/>
  <c r="G16" i="1"/>
  <c r="C25" i="1"/>
  <c r="C17" i="1"/>
  <c r="C18" i="1"/>
  <c r="C19" i="1"/>
  <c r="C20" i="1"/>
  <c r="C21" i="1"/>
  <c r="C22" i="1"/>
  <c r="C23" i="1"/>
  <c r="C24" i="1"/>
  <c r="C16" i="1"/>
  <c r="C43" i="6" l="1"/>
  <c r="B69" i="6"/>
  <c r="B70" i="6"/>
  <c r="C44" i="6"/>
  <c r="B75" i="6"/>
  <c r="C49" i="6"/>
  <c r="C42" i="6"/>
  <c r="B68" i="6"/>
  <c r="B72" i="6"/>
  <c r="C46" i="6"/>
  <c r="B74" i="6"/>
  <c r="C48" i="6"/>
  <c r="B76" i="6"/>
  <c r="C50" i="6"/>
  <c r="B71" i="6"/>
  <c r="C45" i="6"/>
  <c r="C47" i="6"/>
  <c r="B73" i="6"/>
  <c r="B60" i="4"/>
  <c r="B31" i="4"/>
  <c r="D32" i="4" s="1"/>
  <c r="B40" i="4" s="1"/>
  <c r="G62" i="4" s="1"/>
  <c r="M40" i="1"/>
  <c r="M36" i="1"/>
  <c r="M43" i="1"/>
  <c r="C6" i="1"/>
  <c r="C8" i="1"/>
  <c r="C7" i="1"/>
  <c r="C51" i="6" l="1"/>
  <c r="D52" i="6" s="1"/>
  <c r="B60" i="6" s="1"/>
  <c r="B77" i="6"/>
  <c r="D78" i="6" s="1"/>
  <c r="D82" i="6" l="1"/>
  <c r="G82" i="6" s="1"/>
  <c r="D80" i="6"/>
  <c r="G80" i="6" s="1"/>
  <c r="D81" i="6"/>
  <c r="G81" i="6" s="1"/>
  <c r="C90" i="6" l="1"/>
  <c r="B101" i="6"/>
  <c r="E101" i="6"/>
  <c r="C91" i="6"/>
  <c r="F102" i="6" l="1"/>
  <c r="F103" i="6"/>
  <c r="C102" i="6"/>
  <c r="C103" i="6"/>
</calcChain>
</file>

<file path=xl/sharedStrings.xml><?xml version="1.0" encoding="utf-8"?>
<sst xmlns="http://schemas.openxmlformats.org/spreadsheetml/2006/main" count="343" uniqueCount="165">
  <si>
    <t>ВВП</t>
  </si>
  <si>
    <t>Потребление в текущих ценах</t>
  </si>
  <si>
    <t>Инвестиции в текущих ценах</t>
  </si>
  <si>
    <t>1. Средние значения величин</t>
  </si>
  <si>
    <t>2.Дисперсии величин</t>
  </si>
  <si>
    <t>y</t>
  </si>
  <si>
    <r>
      <t xml:space="preserve">ВВП - </t>
    </r>
    <r>
      <rPr>
        <b/>
        <i/>
        <sz val="12"/>
        <color theme="1"/>
        <rFont val="Times New Roman"/>
        <family val="1"/>
        <charset val="204"/>
      </rPr>
      <t>y</t>
    </r>
  </si>
  <si>
    <t>(y-yср)^2</t>
  </si>
  <si>
    <t>Сумма</t>
  </si>
  <si>
    <r>
      <t>x2</t>
    </r>
    <r>
      <rPr>
        <i/>
        <sz val="8"/>
        <color theme="1"/>
        <rFont val="Times New Roman"/>
        <family val="1"/>
        <charset val="204"/>
      </rPr>
      <t>ср</t>
    </r>
  </si>
  <si>
    <r>
      <t>x1</t>
    </r>
    <r>
      <rPr>
        <i/>
        <sz val="8"/>
        <color theme="1"/>
        <rFont val="Times New Roman"/>
        <family val="1"/>
        <charset val="204"/>
      </rPr>
      <t>ср</t>
    </r>
  </si>
  <si>
    <r>
      <t>y</t>
    </r>
    <r>
      <rPr>
        <i/>
        <sz val="8"/>
        <color theme="1"/>
        <rFont val="Times New Roman"/>
        <family val="1"/>
        <charset val="204"/>
      </rPr>
      <t>ср</t>
    </r>
  </si>
  <si>
    <t>D(y)</t>
  </si>
  <si>
    <t>D(x1)</t>
  </si>
  <si>
    <t>D(x2)</t>
  </si>
  <si>
    <r>
      <t xml:space="preserve">Потребление - </t>
    </r>
    <r>
      <rPr>
        <b/>
        <i/>
        <sz val="12"/>
        <color theme="1"/>
        <rFont val="Times New Roman"/>
        <family val="1"/>
        <charset val="204"/>
      </rPr>
      <t>х1</t>
    </r>
  </si>
  <si>
    <t>(х1-х1ср)^2</t>
  </si>
  <si>
    <r>
      <t xml:space="preserve">Инвестиции - </t>
    </r>
    <r>
      <rPr>
        <b/>
        <i/>
        <sz val="12"/>
        <color theme="1"/>
        <rFont val="Times New Roman"/>
        <family val="1"/>
        <charset val="204"/>
      </rPr>
      <t>х2</t>
    </r>
  </si>
  <si>
    <t>(х2-х2ср)^2</t>
  </si>
  <si>
    <t>3. Среднеквадратические отклонения величин</t>
  </si>
  <si>
    <t>sqrtD(y)</t>
  </si>
  <si>
    <t>sqrtD(x1)</t>
  </si>
  <si>
    <t>sqrtD(x2)</t>
  </si>
  <si>
    <t>4. Ковариация ВВП и потребления, ВВП и инвестиций</t>
  </si>
  <si>
    <t>Наблюдение</t>
  </si>
  <si>
    <r>
      <t>y-y</t>
    </r>
    <r>
      <rPr>
        <b/>
        <i/>
        <sz val="8"/>
        <color theme="1"/>
        <rFont val="Times New Roman"/>
        <family val="1"/>
        <charset val="204"/>
      </rPr>
      <t>ср</t>
    </r>
  </si>
  <si>
    <t>х1</t>
  </si>
  <si>
    <r>
      <t>х1-х1</t>
    </r>
    <r>
      <rPr>
        <b/>
        <i/>
        <sz val="8"/>
        <color theme="1"/>
        <rFont val="Times New Roman"/>
        <family val="1"/>
        <charset val="204"/>
      </rPr>
      <t>ср</t>
    </r>
  </si>
  <si>
    <r>
      <t>(y-y</t>
    </r>
    <r>
      <rPr>
        <b/>
        <i/>
        <sz val="8"/>
        <color theme="1"/>
        <rFont val="Times New Roman"/>
        <family val="1"/>
        <charset val="204"/>
      </rPr>
      <t>ср</t>
    </r>
    <r>
      <rPr>
        <b/>
        <i/>
        <sz val="12"/>
        <color theme="1"/>
        <rFont val="Times New Roman"/>
        <family val="1"/>
        <charset val="204"/>
      </rPr>
      <t>)*(х1-х1</t>
    </r>
    <r>
      <rPr>
        <b/>
        <i/>
        <sz val="8"/>
        <color theme="1"/>
        <rFont val="Times New Roman"/>
        <family val="1"/>
        <charset val="204"/>
      </rPr>
      <t>ср)</t>
    </r>
  </si>
  <si>
    <t>Ковариация ВВП и потребления</t>
  </si>
  <si>
    <t>cov(y,x1)=</t>
  </si>
  <si>
    <t>х2</t>
  </si>
  <si>
    <r>
      <t>х2-х2</t>
    </r>
    <r>
      <rPr>
        <b/>
        <i/>
        <sz val="8"/>
        <color theme="1"/>
        <rFont val="Times New Roman"/>
        <family val="1"/>
        <charset val="204"/>
      </rPr>
      <t>ср</t>
    </r>
  </si>
  <si>
    <r>
      <t>(y-y</t>
    </r>
    <r>
      <rPr>
        <b/>
        <i/>
        <sz val="8"/>
        <color theme="1"/>
        <rFont val="Times New Roman"/>
        <family val="1"/>
        <charset val="204"/>
      </rPr>
      <t>ср</t>
    </r>
    <r>
      <rPr>
        <b/>
        <i/>
        <sz val="12"/>
        <color theme="1"/>
        <rFont val="Times New Roman"/>
        <family val="1"/>
        <charset val="204"/>
      </rPr>
      <t>)*(х2-х2</t>
    </r>
    <r>
      <rPr>
        <b/>
        <i/>
        <sz val="8"/>
        <color theme="1"/>
        <rFont val="Times New Roman"/>
        <family val="1"/>
        <charset val="204"/>
      </rPr>
      <t>ср)</t>
    </r>
  </si>
  <si>
    <t>Ковариация ВВП и инвестиций</t>
  </si>
  <si>
    <t>5. Коэффициент корреляции ВВП и потребления, ковариацию ВВП и инвестиций</t>
  </si>
  <si>
    <t>Коэффициент корреляции ВВП и потребления</t>
  </si>
  <si>
    <t>r(y,x1)=</t>
  </si>
  <si>
    <t>Коэффициент корреляции ВВП и инвестиций</t>
  </si>
  <si>
    <t>r(y,x2)=</t>
  </si>
  <si>
    <t>6.Коэффициент частной корреляции ВВП и потребления, коэффициент частной корреляции ВВП и инвестиций</t>
  </si>
  <si>
    <t>r(yx1 - x2) - Коэффициент частной корреляции ВВП и потребления (исключаем инвестиции)</t>
  </si>
  <si>
    <t>r(yx1)=</t>
  </si>
  <si>
    <t>r(yx2)=</t>
  </si>
  <si>
    <t>r(x1x2)=</t>
  </si>
  <si>
    <t>r(yx1 - x2)=</t>
  </si>
  <si>
    <t>r(yx2 - x1) - Коэффициент частной корреляции ВВП и потребления (исключаем инвестиции)</t>
  </si>
  <si>
    <t>r(yx2 - x1)=</t>
  </si>
  <si>
    <t>№</t>
  </si>
  <si>
    <t>x1</t>
  </si>
  <si>
    <t>Коэффициенты</t>
  </si>
  <si>
    <t>a=</t>
  </si>
  <si>
    <t>b=</t>
  </si>
  <si>
    <t>ВЫВОД ИТОГОВ</t>
  </si>
  <si>
    <t>Регрессионная статистика</t>
  </si>
  <si>
    <t>Множественный R</t>
  </si>
  <si>
    <t>R-квадрат</t>
  </si>
  <si>
    <t>Нормированный R-квадрат</t>
  </si>
  <si>
    <t>Стандартная ошибка</t>
  </si>
  <si>
    <t>Наблюдения</t>
  </si>
  <si>
    <t>Дисперсионный анализ</t>
  </si>
  <si>
    <t>Регрессия</t>
  </si>
  <si>
    <t>Остаток</t>
  </si>
  <si>
    <t>Итого</t>
  </si>
  <si>
    <t>Y-пересечение</t>
  </si>
  <si>
    <t>df</t>
  </si>
  <si>
    <t>SS</t>
  </si>
  <si>
    <t>MS</t>
  </si>
  <si>
    <t>F</t>
  </si>
  <si>
    <t>Значимость F</t>
  </si>
  <si>
    <t>t-статистика</t>
  </si>
  <si>
    <t>P-Значение</t>
  </si>
  <si>
    <t>Нижние 95%</t>
  </si>
  <si>
    <t>Верхние 95%</t>
  </si>
  <si>
    <t>Нижние 95,0%</t>
  </si>
  <si>
    <t>Верхние 95,0%</t>
  </si>
  <si>
    <t>Переменная X 1</t>
  </si>
  <si>
    <t>y*</t>
  </si>
  <si>
    <t>Коэффициенты уравнения регрессии</t>
  </si>
  <si>
    <t>Коэффициент детерминации R2</t>
  </si>
  <si>
    <t>Зависимость ВВП от потребления</t>
  </si>
  <si>
    <t>(y*-уср)^2</t>
  </si>
  <si>
    <t>(y-уср)^2</t>
  </si>
  <si>
    <t>Коэффициент детерминации R2=</t>
  </si>
  <si>
    <t>y=5625,32+194,87x1</t>
  </si>
  <si>
    <t>Качество модели y=5625,32+194,87x1 достаточно высокое, поскольку коэффициент детерминации близок к 1.</t>
  </si>
  <si>
    <t>F -тест проверки полученного уравнение регрессии на значимость</t>
  </si>
  <si>
    <t>Н0:</t>
  </si>
  <si>
    <t>а=0, b=0</t>
  </si>
  <si>
    <t>F=</t>
  </si>
  <si>
    <t>F табличное (1, 7) при уровне значимости 0,05 = 5,59</t>
  </si>
  <si>
    <t>t-тест для значимости коэффициента b</t>
  </si>
  <si>
    <t>F&gt;Fтабл  -----&gt; принимаем гипотезу Н1, что свидетельствует о значимости и надежности модели y=5625,32+194,87x1</t>
  </si>
  <si>
    <t>b=0</t>
  </si>
  <si>
    <t>Вычислим S2 ост</t>
  </si>
  <si>
    <t>(y*-у)^2</t>
  </si>
  <si>
    <t>Остаточная дисперсия S2 ост =</t>
  </si>
  <si>
    <t>tb=</t>
  </si>
  <si>
    <t>mb=</t>
  </si>
  <si>
    <t>t табличное (7) при уровне значимости 0,05 = 2,3646</t>
  </si>
  <si>
    <t xml:space="preserve"> Девяностопятипроцентный доверительный интервал для коэффициента регрессии b</t>
  </si>
  <si>
    <t>Среднеквадратичная ошибка mb=</t>
  </si>
  <si>
    <t>t табл=</t>
  </si>
  <si>
    <t>Нижняя граница=</t>
  </si>
  <si>
    <t>Верхняя граница=</t>
  </si>
  <si>
    <t>160,184&lt;=b&lt;=229,557</t>
  </si>
  <si>
    <t>t-тест для коэффициента корреляции</t>
  </si>
  <si>
    <t>r=</t>
  </si>
  <si>
    <t>mr=</t>
  </si>
  <si>
    <t>tr=</t>
  </si>
  <si>
    <t>r=0</t>
  </si>
  <si>
    <t>Произведенные расчеты можно проверить с помощью автоматического построения уравнения регрессии в пакете MS-Excel "Анализ данных":</t>
  </si>
  <si>
    <t>ВЫВОД ОСТАТКА</t>
  </si>
  <si>
    <t>Предсказанное Y</t>
  </si>
  <si>
    <t>Остатки</t>
  </si>
  <si>
    <t>!!!сошлось</t>
  </si>
  <si>
    <t>x2</t>
  </si>
  <si>
    <t>cov(y,x2)=</t>
  </si>
  <si>
    <t>Зависимость ВВП от инвестиций</t>
  </si>
  <si>
    <t>y=4844,40+547,30x2</t>
  </si>
  <si>
    <t>Качество модели y=4844,40+547,30x2 достаточно высокое, поскольку коэффициент детерминации близок к 1.</t>
  </si>
  <si>
    <t>F&gt;Fтабл  -----&gt; принимаем гипотезу Н1, что свидетельствует о значимости и надежности модели y=4844,40+547,30x2</t>
  </si>
  <si>
    <t>ранжированные</t>
  </si>
  <si>
    <r>
      <t>7. Уравнение регрессии для зависимости ВВП от потребления</t>
    </r>
    <r>
      <rPr>
        <sz val="11"/>
        <color theme="1"/>
        <rFont val="Times New Roman"/>
        <family val="1"/>
        <charset val="204"/>
      </rPr>
      <t xml:space="preserve"> имеет вид </t>
    </r>
    <r>
      <rPr>
        <b/>
        <i/>
        <sz val="11"/>
        <color theme="1"/>
        <rFont val="Times New Roman"/>
        <family val="1"/>
        <charset val="204"/>
      </rPr>
      <t>y=a+b*x1</t>
    </r>
  </si>
  <si>
    <r>
      <t>7. Уравнение регрессии для зависимости ВВП от инвестиций</t>
    </r>
    <r>
      <rPr>
        <sz val="11"/>
        <color theme="1"/>
        <rFont val="Times New Roman"/>
        <family val="1"/>
        <charset val="204"/>
      </rPr>
      <t xml:space="preserve">имеет вид </t>
    </r>
    <r>
      <rPr>
        <b/>
        <i/>
        <sz val="11"/>
        <color theme="1"/>
        <rFont val="Times New Roman"/>
        <family val="1"/>
        <charset val="204"/>
      </rPr>
      <t>y=a+b*x2</t>
    </r>
  </si>
  <si>
    <t>t табличное (7) при уровне значимости 0,01 = 3,499</t>
  </si>
  <si>
    <t xml:space="preserve"> Девяностодевятипроцентный доверительный интервал для коэффициента регрессии b</t>
  </si>
  <si>
    <t>98,786&lt;=b&lt;=995,732</t>
  </si>
  <si>
    <t>Уравнение множественной регрессии для зависимости ВВП от потребления и инвестиций имеет вид y=b0+b1*x1+b2*x2</t>
  </si>
  <si>
    <r>
      <t>Матрица X</t>
    </r>
    <r>
      <rPr>
        <vertAlign val="superscript"/>
        <sz val="11"/>
        <color theme="1"/>
        <rFont val="Times New Roman"/>
        <family val="1"/>
        <charset val="204"/>
      </rPr>
      <t>T</t>
    </r>
  </si>
  <si>
    <t>=</t>
  </si>
  <si>
    <t>Матрица X</t>
  </si>
  <si>
    <r>
      <t>Матрица X</t>
    </r>
    <r>
      <rPr>
        <vertAlign val="superscript"/>
        <sz val="11"/>
        <color theme="1"/>
        <rFont val="Times New Roman"/>
        <family val="1"/>
        <charset val="204"/>
      </rPr>
      <t>T</t>
    </r>
    <r>
      <rPr>
        <sz val="11"/>
        <color theme="1"/>
        <rFont val="Times New Roman"/>
        <family val="1"/>
        <charset val="204"/>
      </rPr>
      <t>X</t>
    </r>
  </si>
  <si>
    <r>
      <t>Матрица (X</t>
    </r>
    <r>
      <rPr>
        <vertAlign val="superscript"/>
        <sz val="11"/>
        <color theme="1"/>
        <rFont val="Times New Roman"/>
        <family val="1"/>
        <charset val="204"/>
      </rPr>
      <t>T</t>
    </r>
    <r>
      <rPr>
        <sz val="11"/>
        <color theme="1"/>
        <rFont val="Times New Roman"/>
        <family val="1"/>
        <charset val="204"/>
      </rPr>
      <t>X)</t>
    </r>
    <r>
      <rPr>
        <vertAlign val="superscript"/>
        <sz val="11"/>
        <color theme="1"/>
        <rFont val="Times New Roman"/>
        <family val="1"/>
        <charset val="204"/>
      </rPr>
      <t>-1</t>
    </r>
  </si>
  <si>
    <t xml:space="preserve"> Y=</t>
  </si>
  <si>
    <r>
      <t>В= (X</t>
    </r>
    <r>
      <rPr>
        <vertAlign val="superscript"/>
        <sz val="11"/>
        <color theme="1"/>
        <rFont val="Times New Roman"/>
        <family val="1"/>
        <charset val="204"/>
      </rPr>
      <t>T</t>
    </r>
    <r>
      <rPr>
        <sz val="11"/>
        <color theme="1"/>
        <rFont val="Times New Roman"/>
        <family val="1"/>
        <charset val="204"/>
      </rPr>
      <t>X)</t>
    </r>
    <r>
      <rPr>
        <vertAlign val="superscript"/>
        <sz val="11"/>
        <color theme="1"/>
        <rFont val="Times New Roman"/>
        <family val="1"/>
        <charset val="204"/>
      </rPr>
      <t>-1</t>
    </r>
    <r>
      <rPr>
        <sz val="11"/>
        <color theme="1"/>
        <rFont val="Times New Roman"/>
        <family val="1"/>
        <charset val="204"/>
      </rPr>
      <t>X</t>
    </r>
    <r>
      <rPr>
        <vertAlign val="superscript"/>
        <sz val="11"/>
        <color theme="1"/>
        <rFont val="Times New Roman"/>
        <family val="1"/>
        <charset val="204"/>
      </rPr>
      <t>T</t>
    </r>
    <r>
      <rPr>
        <sz val="11"/>
        <color theme="1"/>
        <rFont val="Times New Roman"/>
        <family val="1"/>
        <charset val="204"/>
      </rPr>
      <t>Y</t>
    </r>
  </si>
  <si>
    <r>
      <t>Матрица X</t>
    </r>
    <r>
      <rPr>
        <vertAlign val="superscript"/>
        <sz val="11"/>
        <color theme="1"/>
        <rFont val="Times New Roman"/>
        <family val="1"/>
        <charset val="204"/>
      </rPr>
      <t>T</t>
    </r>
    <r>
      <rPr>
        <sz val="11"/>
        <color theme="1"/>
        <rFont val="Times New Roman"/>
        <family val="1"/>
        <charset val="204"/>
      </rPr>
      <t>Y</t>
    </r>
  </si>
  <si>
    <t>Зависимость ВВП от потребления и инвестиций - y=7010,40+274,89*x1-279,36*x2</t>
  </si>
  <si>
    <t>Переменная X 2</t>
  </si>
  <si>
    <t>Качество моделиy=7010,40+274,89*x1-279,36*x2 достаточно высокое, поскольку коэффициент детерминации близок к 1.</t>
  </si>
  <si>
    <t>F -тест проверки  уравнение регрессии y=7010,40+274,89*x1-279,36*x2 на значимость</t>
  </si>
  <si>
    <t>b0=0, b1=0, b2=0</t>
  </si>
  <si>
    <t>F табличное (2, 6) при уровне значимости 0,05 = 5,14</t>
  </si>
  <si>
    <t>F&gt;Fтабл  -----&gt; принимаем гипотезу Н1, что свидетельствует о значимости и надежности модели y=7010,40+274,89*x1-279,36*x2</t>
  </si>
  <si>
    <t>b1=0</t>
  </si>
  <si>
    <t>b2=0</t>
  </si>
  <si>
    <t>zjj=</t>
  </si>
  <si>
    <t>Тb1=</t>
  </si>
  <si>
    <t>Тb2=</t>
  </si>
  <si>
    <t>t табличное (6) при уровне значимости 0,05 = 2,4460</t>
  </si>
  <si>
    <t>Tb1&gt;t табл  -----&gt; принимаем гипотезу Н1, что свидетельствует о значимости коэффициента b1 в модели y=7010,40+274,89*x1-279,36*x2</t>
  </si>
  <si>
    <t>Tb2 мо модулю &gt;t табл  -----&gt; принимаем гипотезу Н1, что свидетельствует о значимости коэффициента b2 в модели y=7010,40+274,89*x1-279,36*x2</t>
  </si>
  <si>
    <t>tb&gt;t табл  -----&gt; принимаем гипотезу Н1, что свидетельствует о значимости коэффициента b в модели y=4844,40+547,30x2</t>
  </si>
  <si>
    <t>tb&gt;t табл  -----&gt; принимаем гипотезу Н1, что свидетельствует о значимости коэффициента b в модели y=5625,32+194,87x1</t>
  </si>
  <si>
    <t>b1</t>
  </si>
  <si>
    <t>Sb1=</t>
  </si>
  <si>
    <t>b2</t>
  </si>
  <si>
    <t>Sb2=</t>
  </si>
  <si>
    <t xml:space="preserve"> Девяностопятипроцентный доверительный интервал для коэффициентов регрессии b1 и b2</t>
  </si>
  <si>
    <t>Множественный коэффициент корреляции R=</t>
  </si>
  <si>
    <t>R=0</t>
  </si>
  <si>
    <t>tR=</t>
  </si>
  <si>
    <t>tR&gt;t табл  -----&gt; принимаем гипотезу Н1, что свидетельствует о значимости коэффициента множественной корреляции между у и x1 и х2 в модели y=7010,40+274,89*x1-279,36*x2</t>
  </si>
  <si>
    <t>tb&gt; t табл  -----&gt; принимаем гипотезу Н1, что свидетельствует о значимости коэффициента корреляции между у и х1 в модели y=5625,32+194,87x1</t>
  </si>
  <si>
    <t>tb&gt; t табл  -----&gt; принимаем гипотезу Н1, что свидетельствует о значимости коэффициента корреляции между у и х2 в модели y=4844,40+547,30x2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</si>
</sst>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0"/>
    <numFmt numFmtId="165" formatCode="0.000"/>
    <numFmt numFmtId="166" formatCode="0.0"/>
    <numFmt numFmtId="167" formatCode="0.00000"/>
  </numFmts>
  <fonts count="13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8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i/>
      <sz val="8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vertAlign val="superscript"/>
      <sz val="11"/>
      <color theme="1"/>
      <name val="Times New Roman"/>
      <family val="1"/>
      <charset val="204"/>
    </font>
    <font>
      <i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5">
    <xf numFmtId="0" fontId="0" fillId="0" borderId="0" xfId="0"/>
    <xf numFmtId="0" fontId="1" fillId="0" borderId="0" xfId="0" applyFont="1"/>
    <xf numFmtId="0" fontId="1" fillId="0" borderId="1" xfId="0" applyFont="1" applyBorder="1"/>
    <xf numFmtId="2" fontId="1" fillId="0" borderId="1" xfId="0" applyNumberFormat="1" applyFont="1" applyBorder="1"/>
    <xf numFmtId="0" fontId="1" fillId="0" borderId="1" xfId="0" applyFont="1" applyBorder="1" applyAlignment="1">
      <alignment wrapText="1"/>
    </xf>
    <xf numFmtId="1" fontId="1" fillId="0" borderId="1" xfId="0" applyNumberFormat="1" applyFont="1" applyBorder="1" applyAlignment="1">
      <alignment horizontal="center"/>
    </xf>
    <xf numFmtId="2" fontId="1" fillId="0" borderId="0" xfId="0" applyNumberFormat="1" applyFont="1"/>
    <xf numFmtId="2" fontId="1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2" fontId="1" fillId="0" borderId="0" xfId="0" applyNumberFormat="1" applyFont="1" applyBorder="1"/>
    <xf numFmtId="0" fontId="1" fillId="0" borderId="0" xfId="0" applyFont="1" applyBorder="1"/>
    <xf numFmtId="2" fontId="1" fillId="0" borderId="2" xfId="0" applyNumberFormat="1" applyFont="1" applyBorder="1" applyAlignment="1">
      <alignment horizontal="center"/>
    </xf>
    <xf numFmtId="2" fontId="1" fillId="0" borderId="3" xfId="0" applyNumberFormat="1" applyFont="1" applyBorder="1"/>
    <xf numFmtId="164" fontId="1" fillId="0" borderId="0" xfId="0" applyNumberFormat="1" applyFont="1"/>
    <xf numFmtId="2" fontId="1" fillId="0" borderId="0" xfId="0" applyNumberFormat="1" applyFont="1" applyAlignment="1">
      <alignment horizontal="center"/>
    </xf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5" fillId="0" borderId="0" xfId="0" applyFont="1"/>
    <xf numFmtId="2" fontId="5" fillId="0" borderId="1" xfId="0" applyNumberFormat="1" applyFont="1" applyBorder="1" applyAlignment="1">
      <alignment horizontal="center" vertical="center"/>
    </xf>
    <xf numFmtId="164" fontId="5" fillId="0" borderId="0" xfId="0" applyNumberFormat="1" applyFont="1"/>
    <xf numFmtId="164" fontId="5" fillId="0" borderId="0" xfId="0" applyNumberFormat="1" applyFont="1" applyAlignment="1">
      <alignment horizontal="left"/>
    </xf>
    <xf numFmtId="2" fontId="5" fillId="0" borderId="0" xfId="0" applyNumberFormat="1" applyFont="1" applyAlignment="1">
      <alignment horizontal="left"/>
    </xf>
    <xf numFmtId="2" fontId="1" fillId="0" borderId="0" xfId="0" applyNumberFormat="1" applyFont="1" applyAlignment="1">
      <alignment horizontal="left"/>
    </xf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8" fillId="0" borderId="0" xfId="0" applyFo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7" fillId="0" borderId="0" xfId="0" applyFont="1"/>
    <xf numFmtId="0" fontId="8" fillId="0" borderId="0" xfId="0" applyFont="1" applyAlignment="1"/>
    <xf numFmtId="0" fontId="9" fillId="0" borderId="0" xfId="0" applyFont="1"/>
    <xf numFmtId="2" fontId="8" fillId="0" borderId="0" xfId="0" applyNumberFormat="1" applyFont="1"/>
    <xf numFmtId="0" fontId="9" fillId="0" borderId="5" xfId="0" applyFont="1" applyFill="1" applyBorder="1" applyAlignment="1">
      <alignment horizontal="centerContinuous"/>
    </xf>
    <xf numFmtId="0" fontId="8" fillId="0" borderId="0" xfId="0" applyFont="1" applyFill="1" applyBorder="1" applyAlignment="1"/>
    <xf numFmtId="0" fontId="8" fillId="3" borderId="0" xfId="0" applyFont="1" applyFill="1" applyBorder="1" applyAlignment="1"/>
    <xf numFmtId="0" fontId="8" fillId="0" borderId="4" xfId="0" applyFont="1" applyFill="1" applyBorder="1" applyAlignment="1"/>
    <xf numFmtId="0" fontId="9" fillId="0" borderId="5" xfId="0" applyFont="1" applyFill="1" applyBorder="1" applyAlignment="1">
      <alignment horizontal="center"/>
    </xf>
    <xf numFmtId="0" fontId="8" fillId="3" borderId="4" xfId="0" applyFont="1" applyFill="1" applyBorder="1" applyAlignment="1"/>
    <xf numFmtId="0" fontId="9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/>
    <xf numFmtId="0" fontId="10" fillId="0" borderId="1" xfId="0" applyFont="1" applyBorder="1"/>
    <xf numFmtId="165" fontId="10" fillId="0" borderId="1" xfId="0" applyNumberFormat="1" applyFont="1" applyBorder="1"/>
    <xf numFmtId="0" fontId="10" fillId="0" borderId="1" xfId="0" applyFont="1" applyBorder="1" applyAlignment="1">
      <alignment horizontal="right"/>
    </xf>
    <xf numFmtId="166" fontId="8" fillId="0" borderId="1" xfId="0" applyNumberFormat="1" applyFont="1" applyBorder="1"/>
    <xf numFmtId="0" fontId="8" fillId="0" borderId="6" xfId="0" applyFont="1" applyBorder="1"/>
    <xf numFmtId="166" fontId="8" fillId="0" borderId="6" xfId="0" applyNumberFormat="1" applyFont="1" applyBorder="1"/>
    <xf numFmtId="164" fontId="10" fillId="2" borderId="1" xfId="0" applyNumberFormat="1" applyFont="1" applyFill="1" applyBorder="1" applyAlignment="1">
      <alignment horizontal="left"/>
    </xf>
    <xf numFmtId="0" fontId="7" fillId="2" borderId="1" xfId="0" applyFont="1" applyFill="1" applyBorder="1" applyAlignment="1">
      <alignment horizontal="right"/>
    </xf>
    <xf numFmtId="2" fontId="10" fillId="2" borderId="1" xfId="0" applyNumberFormat="1" applyFont="1" applyFill="1" applyBorder="1" applyAlignment="1">
      <alignment horizontal="left"/>
    </xf>
    <xf numFmtId="0" fontId="8" fillId="0" borderId="1" xfId="0" applyFont="1" applyBorder="1" applyAlignment="1">
      <alignment horizontal="right"/>
    </xf>
    <xf numFmtId="2" fontId="8" fillId="0" borderId="1" xfId="0" applyNumberFormat="1" applyFont="1" applyBorder="1" applyAlignment="1">
      <alignment horizontal="left"/>
    </xf>
    <xf numFmtId="0" fontId="10" fillId="2" borderId="1" xfId="0" applyFont="1" applyFill="1" applyBorder="1" applyAlignment="1">
      <alignment horizontal="right"/>
    </xf>
    <xf numFmtId="2" fontId="8" fillId="0" borderId="6" xfId="0" applyNumberFormat="1" applyFont="1" applyBorder="1"/>
    <xf numFmtId="165" fontId="8" fillId="0" borderId="1" xfId="0" applyNumberFormat="1" applyFont="1" applyBorder="1"/>
    <xf numFmtId="164" fontId="8" fillId="0" borderId="1" xfId="0" applyNumberFormat="1" applyFont="1" applyBorder="1"/>
    <xf numFmtId="0" fontId="10" fillId="2" borderId="1" xfId="0" applyFont="1" applyFill="1" applyBorder="1"/>
    <xf numFmtId="164" fontId="10" fillId="2" borderId="1" xfId="0" applyNumberFormat="1" applyFont="1" applyFill="1" applyBorder="1"/>
    <xf numFmtId="2" fontId="8" fillId="0" borderId="1" xfId="0" applyNumberFormat="1" applyFont="1" applyBorder="1" applyAlignment="1">
      <alignment horizontal="center"/>
    </xf>
    <xf numFmtId="2" fontId="8" fillId="2" borderId="1" xfId="0" applyNumberFormat="1" applyFont="1" applyFill="1" applyBorder="1"/>
    <xf numFmtId="0" fontId="10" fillId="0" borderId="0" xfId="0" applyFont="1"/>
    <xf numFmtId="0" fontId="0" fillId="0" borderId="0" xfId="0" applyFill="1" applyBorder="1" applyAlignment="1"/>
    <xf numFmtId="0" fontId="0" fillId="0" borderId="4" xfId="0" applyFill="1" applyBorder="1" applyAlignment="1"/>
    <xf numFmtId="0" fontId="12" fillId="0" borderId="5" xfId="0" applyFont="1" applyFill="1" applyBorder="1" applyAlignment="1">
      <alignment horizontal="center"/>
    </xf>
    <xf numFmtId="0" fontId="12" fillId="0" borderId="5" xfId="0" applyFont="1" applyFill="1" applyBorder="1" applyAlignment="1">
      <alignment horizontal="centerContinuous"/>
    </xf>
    <xf numFmtId="0" fontId="8" fillId="0" borderId="0" xfId="0" applyFont="1" applyAlignment="1">
      <alignment horizontal="right"/>
    </xf>
    <xf numFmtId="167" fontId="8" fillId="0" borderId="1" xfId="0" applyNumberFormat="1" applyFont="1" applyBorder="1"/>
    <xf numFmtId="2" fontId="8" fillId="2" borderId="1" xfId="0" applyNumberFormat="1" applyFont="1" applyFill="1" applyBorder="1" applyAlignment="1">
      <alignment horizontal="center"/>
    </xf>
    <xf numFmtId="0" fontId="8" fillId="2" borderId="1" xfId="0" applyFont="1" applyFill="1" applyBorder="1"/>
    <xf numFmtId="164" fontId="8" fillId="0" borderId="1" xfId="0" applyNumberFormat="1" applyFont="1" applyBorder="1" applyAlignment="1">
      <alignment horizontal="left"/>
    </xf>
    <xf numFmtId="0" fontId="0" fillId="3" borderId="0" xfId="0" applyFill="1" applyBorder="1" applyAlignment="1"/>
    <xf numFmtId="0" fontId="0" fillId="3" borderId="4" xfId="0" applyFill="1" applyBorder="1" applyAlignment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center" wrapText="1"/>
    </xf>
    <xf numFmtId="0" fontId="7" fillId="2" borderId="1" xfId="0" applyFont="1" applyFill="1" applyBorder="1" applyAlignment="1">
      <alignment horizontal="center" wrapText="1"/>
    </xf>
    <xf numFmtId="0" fontId="10" fillId="2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7" xfId="0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Исходные данные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00B05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'Задание 7'!$C$3:$C$11</c:f>
              <c:numCache>
                <c:formatCode>General</c:formatCode>
                <c:ptCount val="9"/>
                <c:pt idx="0">
                  <c:v>35.75</c:v>
                </c:pt>
                <c:pt idx="1">
                  <c:v>39.82</c:v>
                </c:pt>
                <c:pt idx="2">
                  <c:v>40.99</c:v>
                </c:pt>
                <c:pt idx="3">
                  <c:v>47.16</c:v>
                </c:pt>
                <c:pt idx="4">
                  <c:v>53.47</c:v>
                </c:pt>
                <c:pt idx="5">
                  <c:v>58.59</c:v>
                </c:pt>
                <c:pt idx="6">
                  <c:v>60.59</c:v>
                </c:pt>
                <c:pt idx="7">
                  <c:v>59.74</c:v>
                </c:pt>
                <c:pt idx="8">
                  <c:v>60.15</c:v>
                </c:pt>
              </c:numCache>
            </c:numRef>
          </c:xVal>
          <c:yVal>
            <c:numRef>
              <c:f>'Задание 7'!$B$3:$B$11</c:f>
              <c:numCache>
                <c:formatCode>General</c:formatCode>
                <c:ptCount val="9"/>
                <c:pt idx="0">
                  <c:v>12600.29</c:v>
                </c:pt>
                <c:pt idx="1">
                  <c:v>13370.69</c:v>
                </c:pt>
                <c:pt idx="2">
                  <c:v>13809.27</c:v>
                </c:pt>
                <c:pt idx="3">
                  <c:v>14790.72</c:v>
                </c:pt>
                <c:pt idx="4">
                  <c:v>15650.55</c:v>
                </c:pt>
                <c:pt idx="5">
                  <c:v>16464.240000000002</c:v>
                </c:pt>
                <c:pt idx="6">
                  <c:v>17241.07</c:v>
                </c:pt>
                <c:pt idx="7">
                  <c:v>17520.830000000002</c:v>
                </c:pt>
                <c:pt idx="8">
                  <c:v>18091.919999999998</c:v>
                </c:pt>
              </c:numCache>
            </c:numRef>
          </c:yVal>
          <c:smooth val="0"/>
        </c:ser>
        <c:ser>
          <c:idx val="1"/>
          <c:order val="1"/>
          <c:tx>
            <c:v>Расчетные данные по регрессии у=а+bx1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'Задание 7'!$C$3:$C$11</c:f>
              <c:numCache>
                <c:formatCode>General</c:formatCode>
                <c:ptCount val="9"/>
                <c:pt idx="0">
                  <c:v>35.75</c:v>
                </c:pt>
                <c:pt idx="1">
                  <c:v>39.82</c:v>
                </c:pt>
                <c:pt idx="2">
                  <c:v>40.99</c:v>
                </c:pt>
                <c:pt idx="3">
                  <c:v>47.16</c:v>
                </c:pt>
                <c:pt idx="4">
                  <c:v>53.47</c:v>
                </c:pt>
                <c:pt idx="5">
                  <c:v>58.59</c:v>
                </c:pt>
                <c:pt idx="6">
                  <c:v>60.59</c:v>
                </c:pt>
                <c:pt idx="7">
                  <c:v>59.74</c:v>
                </c:pt>
                <c:pt idx="8">
                  <c:v>60.15</c:v>
                </c:pt>
              </c:numCache>
            </c:numRef>
          </c:xVal>
          <c:yVal>
            <c:numRef>
              <c:f>'Задание 7'!$D$3:$D$11</c:f>
              <c:numCache>
                <c:formatCode>General</c:formatCode>
                <c:ptCount val="9"/>
                <c:pt idx="0">
                  <c:v>12591.948029677264</c:v>
                </c:pt>
                <c:pt idx="1">
                  <c:v>13385.071472342657</c:v>
                </c:pt>
                <c:pt idx="2">
                  <c:v>13613.070103280865</c:v>
                </c:pt>
                <c:pt idx="3">
                  <c:v>14815.421857886629</c:v>
                </c:pt>
                <c:pt idx="4">
                  <c:v>16045.05549995509</c:v>
                </c:pt>
                <c:pt idx="5">
                  <c:v>17042.793098590671</c:v>
                </c:pt>
                <c:pt idx="6">
                  <c:v>17432.534348057692</c:v>
                </c:pt>
                <c:pt idx="7">
                  <c:v>17266.894317034206</c:v>
                </c:pt>
                <c:pt idx="8">
                  <c:v>17346.791273174946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4508808"/>
        <c:axId val="404513512"/>
      </c:scatterChart>
      <c:valAx>
        <c:axId val="404508808"/>
        <c:scaling>
          <c:orientation val="minMax"/>
          <c:min val="3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04513512"/>
        <c:crosses val="autoZero"/>
        <c:crossBetween val="midCat"/>
      </c:valAx>
      <c:valAx>
        <c:axId val="404513512"/>
        <c:scaling>
          <c:orientation val="minMax"/>
          <c:min val="1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045088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v>Исходные данные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00B050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'Задание 8'!$L$18:$L$26</c:f>
              <c:numCache>
                <c:formatCode>General</c:formatCode>
                <c:ptCount val="9"/>
                <c:pt idx="0">
                  <c:v>15.02</c:v>
                </c:pt>
                <c:pt idx="1">
                  <c:v>16.350000000000001</c:v>
                </c:pt>
                <c:pt idx="2">
                  <c:v>16.600000000000001</c:v>
                </c:pt>
                <c:pt idx="3">
                  <c:v>18.010000000000002</c:v>
                </c:pt>
                <c:pt idx="4">
                  <c:v>20.23</c:v>
                </c:pt>
                <c:pt idx="5">
                  <c:v>21.22</c:v>
                </c:pt>
                <c:pt idx="6">
                  <c:v>21.83</c:v>
                </c:pt>
                <c:pt idx="7">
                  <c:v>22.47</c:v>
                </c:pt>
                <c:pt idx="8">
                  <c:v>23.58</c:v>
                </c:pt>
              </c:numCache>
            </c:numRef>
          </c:xVal>
          <c:yVal>
            <c:numRef>
              <c:f>'Задание 8'!$K$18:$K$26</c:f>
              <c:numCache>
                <c:formatCode>General</c:formatCode>
                <c:ptCount val="9"/>
                <c:pt idx="0">
                  <c:v>12600.29</c:v>
                </c:pt>
                <c:pt idx="1">
                  <c:v>13370.69</c:v>
                </c:pt>
                <c:pt idx="2">
                  <c:v>13809.27</c:v>
                </c:pt>
                <c:pt idx="3">
                  <c:v>14790.72</c:v>
                </c:pt>
                <c:pt idx="4">
                  <c:v>17520.830000000002</c:v>
                </c:pt>
                <c:pt idx="5">
                  <c:v>18091.919999999998</c:v>
                </c:pt>
                <c:pt idx="6">
                  <c:v>15650.55</c:v>
                </c:pt>
                <c:pt idx="7">
                  <c:v>17241.07</c:v>
                </c:pt>
                <c:pt idx="8">
                  <c:v>16464.240000000002</c:v>
                </c:pt>
              </c:numCache>
            </c:numRef>
          </c:yVal>
          <c:smooth val="0"/>
        </c:ser>
        <c:ser>
          <c:idx val="1"/>
          <c:order val="1"/>
          <c:tx>
            <c:v>Расчетные данные по регрессии у=а+bx2</c:v>
          </c:tx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'Задание 8'!$L$18:$L$26</c:f>
              <c:numCache>
                <c:formatCode>General</c:formatCode>
                <c:ptCount val="9"/>
                <c:pt idx="0">
                  <c:v>15.02</c:v>
                </c:pt>
                <c:pt idx="1">
                  <c:v>16.350000000000001</c:v>
                </c:pt>
                <c:pt idx="2">
                  <c:v>16.600000000000001</c:v>
                </c:pt>
                <c:pt idx="3">
                  <c:v>18.010000000000002</c:v>
                </c:pt>
                <c:pt idx="4">
                  <c:v>20.23</c:v>
                </c:pt>
                <c:pt idx="5">
                  <c:v>21.22</c:v>
                </c:pt>
                <c:pt idx="6">
                  <c:v>21.83</c:v>
                </c:pt>
                <c:pt idx="7">
                  <c:v>22.47</c:v>
                </c:pt>
                <c:pt idx="8">
                  <c:v>23.58</c:v>
                </c:pt>
              </c:numCache>
            </c:numRef>
          </c:xVal>
          <c:yVal>
            <c:numRef>
              <c:f>'Задание 8'!$M$18:$M$26</c:f>
              <c:numCache>
                <c:formatCode>General</c:formatCode>
                <c:ptCount val="9"/>
                <c:pt idx="0">
                  <c:v>13064.230829661554</c:v>
                </c:pt>
                <c:pt idx="1">
                  <c:v>13792.085261980299</c:v>
                </c:pt>
                <c:pt idx="2">
                  <c:v>13928.900004897358</c:v>
                </c:pt>
                <c:pt idx="3">
                  <c:v>14700.535154949561</c:v>
                </c:pt>
                <c:pt idx="4">
                  <c:v>15915.450072053029</c:v>
                </c:pt>
                <c:pt idx="5">
                  <c:v>16457.236454004575</c:v>
                </c:pt>
                <c:pt idx="6">
                  <c:v>16791.064426722194</c:v>
                </c:pt>
                <c:pt idx="7">
                  <c:v>17141.310168589858</c:v>
                </c:pt>
                <c:pt idx="8">
                  <c:v>17748.767627141595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4514296"/>
        <c:axId val="404514688"/>
      </c:scatterChart>
      <c:valAx>
        <c:axId val="404514296"/>
        <c:scaling>
          <c:orientation val="minMax"/>
          <c:min val="1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04514688"/>
        <c:crosses val="autoZero"/>
        <c:crossBetween val="midCat"/>
      </c:valAx>
      <c:valAx>
        <c:axId val="404514688"/>
        <c:scaling>
          <c:orientation val="minMax"/>
          <c:min val="1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045142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chart" Target="../charts/chart1.xml"/><Relationship Id="rId1" Type="http://schemas.openxmlformats.org/officeDocument/2006/relationships/image" Target="../media/image6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chart" Target="../charts/chart2.xml"/><Relationship Id="rId1" Type="http://schemas.openxmlformats.org/officeDocument/2006/relationships/image" Target="../media/image6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8.png"/><Relationship Id="rId7" Type="http://schemas.openxmlformats.org/officeDocument/2006/relationships/image" Target="../media/image15.png"/><Relationship Id="rId2" Type="http://schemas.openxmlformats.org/officeDocument/2006/relationships/image" Target="../media/image7.png"/><Relationship Id="rId1" Type="http://schemas.openxmlformats.org/officeDocument/2006/relationships/image" Target="../media/image11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95250</xdr:colOff>
      <xdr:row>5</xdr:row>
      <xdr:rowOff>55527</xdr:rowOff>
    </xdr:from>
    <xdr:to>
      <xdr:col>4</xdr:col>
      <xdr:colOff>476251</xdr:colOff>
      <xdr:row>7</xdr:row>
      <xdr:rowOff>369491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8291" t="35856" r="38500" b="37354"/>
        <a:stretch/>
      </xdr:blipFill>
      <xdr:spPr>
        <a:xfrm>
          <a:off x="2762250" y="1455702"/>
          <a:ext cx="1485900" cy="914039"/>
        </a:xfrm>
        <a:prstGeom prst="rect">
          <a:avLst/>
        </a:prstGeom>
      </xdr:spPr>
    </xdr:pic>
    <xdr:clientData/>
  </xdr:twoCellAnchor>
  <xdr:twoCellAnchor editAs="oneCell">
    <xdr:from>
      <xdr:col>4</xdr:col>
      <xdr:colOff>85726</xdr:colOff>
      <xdr:row>9</xdr:row>
      <xdr:rowOff>180975</xdr:rowOff>
    </xdr:from>
    <xdr:to>
      <xdr:col>6</xdr:col>
      <xdr:colOff>444954</xdr:colOff>
      <xdr:row>12</xdr:row>
      <xdr:rowOff>390525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1512" t="42452" r="40477" b="42986"/>
        <a:stretch/>
      </xdr:blipFill>
      <xdr:spPr>
        <a:xfrm>
          <a:off x="3857626" y="2781300"/>
          <a:ext cx="234315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30</xdr:row>
      <xdr:rowOff>47625</xdr:rowOff>
    </xdr:from>
    <xdr:to>
      <xdr:col>7</xdr:col>
      <xdr:colOff>291192</xdr:colOff>
      <xdr:row>33</xdr:row>
      <xdr:rowOff>133350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636" t="58249" r="61488" b="26364"/>
        <a:stretch/>
      </xdr:blipFill>
      <xdr:spPr>
        <a:xfrm>
          <a:off x="3876675" y="7648575"/>
          <a:ext cx="300037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95252</xdr:rowOff>
    </xdr:from>
    <xdr:to>
      <xdr:col>5</xdr:col>
      <xdr:colOff>77561</xdr:colOff>
      <xdr:row>52</xdr:row>
      <xdr:rowOff>1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057" t="25553" r="49555" b="67166"/>
        <a:stretch/>
      </xdr:blipFill>
      <xdr:spPr>
        <a:xfrm>
          <a:off x="0" y="11496677"/>
          <a:ext cx="4733925" cy="50482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66674</xdr:colOff>
      <xdr:row>56</xdr:row>
      <xdr:rowOff>95251</xdr:rowOff>
    </xdr:from>
    <xdr:to>
      <xdr:col>2</xdr:col>
      <xdr:colOff>855889</xdr:colOff>
      <xdr:row>60</xdr:row>
      <xdr:rowOff>58133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6077" t="50694" r="65515" b="34057"/>
        <a:stretch/>
      </xdr:blipFill>
      <xdr:spPr>
        <a:xfrm>
          <a:off x="66674" y="12896851"/>
          <a:ext cx="2667001" cy="7629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428624</xdr:colOff>
      <xdr:row>1</xdr:row>
      <xdr:rowOff>28575</xdr:rowOff>
    </xdr:from>
    <xdr:to>
      <xdr:col>8</xdr:col>
      <xdr:colOff>266700</xdr:colOff>
      <xdr:row>4</xdr:row>
      <xdr:rowOff>171450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8835" t="44786" r="35936" b="44910"/>
        <a:stretch/>
      </xdr:blipFill>
      <xdr:spPr>
        <a:xfrm>
          <a:off x="3476624" y="219075"/>
          <a:ext cx="1981201" cy="714375"/>
        </a:xfrm>
        <a:prstGeom prst="rect">
          <a:avLst/>
        </a:prstGeom>
      </xdr:spPr>
    </xdr:pic>
    <xdr:clientData/>
  </xdr:twoCellAnchor>
  <xdr:twoCellAnchor>
    <xdr:from>
      <xdr:col>9</xdr:col>
      <xdr:colOff>66675</xdr:colOff>
      <xdr:row>0</xdr:row>
      <xdr:rowOff>52387</xdr:rowOff>
    </xdr:from>
    <xdr:to>
      <xdr:col>16</xdr:col>
      <xdr:colOff>371475</xdr:colOff>
      <xdr:row>14</xdr:row>
      <xdr:rowOff>128587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</xdr:col>
      <xdr:colOff>57150</xdr:colOff>
      <xdr:row>14</xdr:row>
      <xdr:rowOff>142876</xdr:rowOff>
    </xdr:from>
    <xdr:to>
      <xdr:col>3</xdr:col>
      <xdr:colOff>457200</xdr:colOff>
      <xdr:row>19</xdr:row>
      <xdr:rowOff>131082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40635" t="36681" r="40622" b="36805"/>
        <a:stretch/>
      </xdr:blipFill>
      <xdr:spPr>
        <a:xfrm>
          <a:off x="1485900" y="2809876"/>
          <a:ext cx="1247775" cy="9407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57150</xdr:rowOff>
    </xdr:from>
    <xdr:to>
      <xdr:col>2</xdr:col>
      <xdr:colOff>171450</xdr:colOff>
      <xdr:row>38</xdr:row>
      <xdr:rowOff>161925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0592" t="40390" r="36742" b="52604"/>
        <a:stretch/>
      </xdr:blipFill>
      <xdr:spPr>
        <a:xfrm>
          <a:off x="0" y="6915150"/>
          <a:ext cx="1647825" cy="485775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36</xdr:row>
      <xdr:rowOff>180975</xdr:rowOff>
    </xdr:from>
    <xdr:to>
      <xdr:col>14</xdr:col>
      <xdr:colOff>371475</xdr:colOff>
      <xdr:row>38</xdr:row>
      <xdr:rowOff>19050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1703" t="46985" r="7747" b="49856"/>
        <a:stretch/>
      </xdr:blipFill>
      <xdr:spPr>
        <a:xfrm>
          <a:off x="1790700" y="7038975"/>
          <a:ext cx="7877175" cy="219075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75</xdr:row>
      <xdr:rowOff>47624</xdr:rowOff>
    </xdr:from>
    <xdr:to>
      <xdr:col>3</xdr:col>
      <xdr:colOff>495301</xdr:colOff>
      <xdr:row>79</xdr:row>
      <xdr:rowOff>85725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2141" t="76108" r="55778" b="12352"/>
        <a:stretch/>
      </xdr:blipFill>
      <xdr:spPr>
        <a:xfrm>
          <a:off x="1247775" y="14335124"/>
          <a:ext cx="1571626" cy="800101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44</xdr:row>
      <xdr:rowOff>19051</xdr:rowOff>
    </xdr:from>
    <xdr:to>
      <xdr:col>1</xdr:col>
      <xdr:colOff>605936</xdr:colOff>
      <xdr:row>47</xdr:row>
      <xdr:rowOff>38100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9359" t="38191" r="63173" b="54665"/>
        <a:stretch/>
      </xdr:blipFill>
      <xdr:spPr>
        <a:xfrm>
          <a:off x="57149" y="8401051"/>
          <a:ext cx="1158387" cy="590549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609599</xdr:colOff>
      <xdr:row>44</xdr:row>
      <xdr:rowOff>9525</xdr:rowOff>
    </xdr:from>
    <xdr:to>
      <xdr:col>7</xdr:col>
      <xdr:colOff>619124</xdr:colOff>
      <xdr:row>48</xdr:row>
      <xdr:rowOff>47625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1453" t="64843" r="46553" b="23617"/>
        <a:stretch/>
      </xdr:blipFill>
      <xdr:spPr>
        <a:xfrm>
          <a:off x="1219199" y="8391525"/>
          <a:ext cx="4162425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561974</xdr:colOff>
      <xdr:row>66</xdr:row>
      <xdr:rowOff>19049</xdr:rowOff>
    </xdr:from>
    <xdr:to>
      <xdr:col>3</xdr:col>
      <xdr:colOff>333375</xdr:colOff>
      <xdr:row>68</xdr:row>
      <xdr:rowOff>0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4161" t="63058" r="59731" b="31721"/>
        <a:stretch/>
      </xdr:blipFill>
      <xdr:spPr>
        <a:xfrm>
          <a:off x="561974" y="12592049"/>
          <a:ext cx="2095501" cy="361951"/>
        </a:xfrm>
        <a:prstGeom prst="rect">
          <a:avLst/>
        </a:prstGeom>
      </xdr:spPr>
    </xdr:pic>
    <xdr:clientData/>
  </xdr:twoCellAnchor>
  <xdr:twoCellAnchor editAs="oneCell">
    <xdr:from>
      <xdr:col>0</xdr:col>
      <xdr:colOff>38098</xdr:colOff>
      <xdr:row>75</xdr:row>
      <xdr:rowOff>38100</xdr:rowOff>
    </xdr:from>
    <xdr:to>
      <xdr:col>1</xdr:col>
      <xdr:colOff>575815</xdr:colOff>
      <xdr:row>79</xdr:row>
      <xdr:rowOff>76200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3417" t="38191" r="51019" b="54528"/>
        <a:stretch/>
      </xdr:blipFill>
      <xdr:spPr>
        <a:xfrm>
          <a:off x="38098" y="14325600"/>
          <a:ext cx="1147317" cy="8001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428624</xdr:colOff>
      <xdr:row>1</xdr:row>
      <xdr:rowOff>28575</xdr:rowOff>
    </xdr:from>
    <xdr:to>
      <xdr:col>8</xdr:col>
      <xdr:colOff>266700</xdr:colOff>
      <xdr:row>4</xdr:row>
      <xdr:rowOff>171450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8835" t="44786" r="35936" b="44910"/>
        <a:stretch/>
      </xdr:blipFill>
      <xdr:spPr>
        <a:xfrm>
          <a:off x="3971924" y="219075"/>
          <a:ext cx="1981201" cy="714375"/>
        </a:xfrm>
        <a:prstGeom prst="rect">
          <a:avLst/>
        </a:prstGeom>
      </xdr:spPr>
    </xdr:pic>
    <xdr:clientData/>
  </xdr:twoCellAnchor>
  <xdr:twoCellAnchor>
    <xdr:from>
      <xdr:col>9</xdr:col>
      <xdr:colOff>66675</xdr:colOff>
      <xdr:row>0</xdr:row>
      <xdr:rowOff>52387</xdr:rowOff>
    </xdr:from>
    <xdr:to>
      <xdr:col>16</xdr:col>
      <xdr:colOff>371475</xdr:colOff>
      <xdr:row>14</xdr:row>
      <xdr:rowOff>128587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</xdr:col>
      <xdr:colOff>57150</xdr:colOff>
      <xdr:row>14</xdr:row>
      <xdr:rowOff>142876</xdr:rowOff>
    </xdr:from>
    <xdr:to>
      <xdr:col>3</xdr:col>
      <xdr:colOff>457200</xdr:colOff>
      <xdr:row>19</xdr:row>
      <xdr:rowOff>131082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40635" t="36681" r="40622" b="36805"/>
        <a:stretch/>
      </xdr:blipFill>
      <xdr:spPr>
        <a:xfrm>
          <a:off x="1533525" y="2809876"/>
          <a:ext cx="1247775" cy="9407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57150</xdr:rowOff>
    </xdr:from>
    <xdr:to>
      <xdr:col>2</xdr:col>
      <xdr:colOff>171450</xdr:colOff>
      <xdr:row>38</xdr:row>
      <xdr:rowOff>161925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0592" t="40390" r="36742" b="52604"/>
        <a:stretch/>
      </xdr:blipFill>
      <xdr:spPr>
        <a:xfrm>
          <a:off x="0" y="6915150"/>
          <a:ext cx="1647825" cy="485775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36</xdr:row>
      <xdr:rowOff>180975</xdr:rowOff>
    </xdr:from>
    <xdr:to>
      <xdr:col>14</xdr:col>
      <xdr:colOff>371475</xdr:colOff>
      <xdr:row>38</xdr:row>
      <xdr:rowOff>19050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1703" t="46985" r="7747" b="49856"/>
        <a:stretch/>
      </xdr:blipFill>
      <xdr:spPr>
        <a:xfrm>
          <a:off x="1838325" y="7038975"/>
          <a:ext cx="7877175" cy="219075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75</xdr:row>
      <xdr:rowOff>47624</xdr:rowOff>
    </xdr:from>
    <xdr:to>
      <xdr:col>3</xdr:col>
      <xdr:colOff>495301</xdr:colOff>
      <xdr:row>79</xdr:row>
      <xdr:rowOff>85725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2141" t="76108" r="55778" b="12352"/>
        <a:stretch/>
      </xdr:blipFill>
      <xdr:spPr>
        <a:xfrm>
          <a:off x="1247775" y="14335124"/>
          <a:ext cx="1571626" cy="800101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44</xdr:row>
      <xdr:rowOff>19051</xdr:rowOff>
    </xdr:from>
    <xdr:to>
      <xdr:col>1</xdr:col>
      <xdr:colOff>605936</xdr:colOff>
      <xdr:row>47</xdr:row>
      <xdr:rowOff>38100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9359" t="38191" r="63173" b="54665"/>
        <a:stretch/>
      </xdr:blipFill>
      <xdr:spPr>
        <a:xfrm>
          <a:off x="57149" y="8401051"/>
          <a:ext cx="1158387" cy="590549"/>
        </a:xfrm>
        <a:prstGeom prst="rect">
          <a:avLst/>
        </a:prstGeom>
      </xdr:spPr>
    </xdr:pic>
    <xdr:clientData/>
  </xdr:twoCellAnchor>
  <xdr:twoCellAnchor editAs="oneCell">
    <xdr:from>
      <xdr:col>1</xdr:col>
      <xdr:colOff>666749</xdr:colOff>
      <xdr:row>44</xdr:row>
      <xdr:rowOff>85725</xdr:rowOff>
    </xdr:from>
    <xdr:to>
      <xdr:col>7</xdr:col>
      <xdr:colOff>676274</xdr:colOff>
      <xdr:row>48</xdr:row>
      <xdr:rowOff>123825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1453" t="64843" r="46553" b="23617"/>
        <a:stretch/>
      </xdr:blipFill>
      <xdr:spPr>
        <a:xfrm>
          <a:off x="1276349" y="8467725"/>
          <a:ext cx="4162425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561974</xdr:colOff>
      <xdr:row>66</xdr:row>
      <xdr:rowOff>19049</xdr:rowOff>
    </xdr:from>
    <xdr:to>
      <xdr:col>3</xdr:col>
      <xdr:colOff>333375</xdr:colOff>
      <xdr:row>68</xdr:row>
      <xdr:rowOff>0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4161" t="63058" r="59731" b="31721"/>
        <a:stretch/>
      </xdr:blipFill>
      <xdr:spPr>
        <a:xfrm>
          <a:off x="561974" y="12592049"/>
          <a:ext cx="2095501" cy="361951"/>
        </a:xfrm>
        <a:prstGeom prst="rect">
          <a:avLst/>
        </a:prstGeom>
      </xdr:spPr>
    </xdr:pic>
    <xdr:clientData/>
  </xdr:twoCellAnchor>
  <xdr:twoCellAnchor editAs="oneCell">
    <xdr:from>
      <xdr:col>0</xdr:col>
      <xdr:colOff>38098</xdr:colOff>
      <xdr:row>75</xdr:row>
      <xdr:rowOff>38100</xdr:rowOff>
    </xdr:from>
    <xdr:to>
      <xdr:col>1</xdr:col>
      <xdr:colOff>575815</xdr:colOff>
      <xdr:row>79</xdr:row>
      <xdr:rowOff>76200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3417" t="38191" r="51019" b="54528"/>
        <a:stretch/>
      </xdr:blipFill>
      <xdr:spPr>
        <a:xfrm>
          <a:off x="38098" y="14325600"/>
          <a:ext cx="1147317" cy="800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85724</xdr:colOff>
      <xdr:row>0</xdr:row>
      <xdr:rowOff>19051</xdr:rowOff>
    </xdr:from>
    <xdr:to>
      <xdr:col>16</xdr:col>
      <xdr:colOff>171450</xdr:colOff>
      <xdr:row>7</xdr:row>
      <xdr:rowOff>28575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692" t="14562" r="36083" b="66067"/>
        <a:stretch/>
      </xdr:blipFill>
      <xdr:spPr>
        <a:xfrm>
          <a:off x="2524124" y="19051"/>
          <a:ext cx="6534151" cy="134302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</xdr:row>
      <xdr:rowOff>9525</xdr:rowOff>
    </xdr:from>
    <xdr:to>
      <xdr:col>2</xdr:col>
      <xdr:colOff>638175</xdr:colOff>
      <xdr:row>14</xdr:row>
      <xdr:rowOff>38100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483" t="93281" r="54313" b="811"/>
        <a:stretch/>
      </xdr:blipFill>
      <xdr:spPr>
        <a:xfrm>
          <a:off x="9525" y="2295525"/>
          <a:ext cx="1847850" cy="40957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35</xdr:row>
      <xdr:rowOff>0</xdr:rowOff>
    </xdr:from>
    <xdr:to>
      <xdr:col>3</xdr:col>
      <xdr:colOff>285750</xdr:colOff>
      <xdr:row>39</xdr:row>
      <xdr:rowOff>178706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0635" t="36681" r="40622" b="36805"/>
        <a:stretch/>
      </xdr:blipFill>
      <xdr:spPr>
        <a:xfrm>
          <a:off x="1343025" y="6858000"/>
          <a:ext cx="1247775" cy="94070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56</xdr:row>
      <xdr:rowOff>38100</xdr:rowOff>
    </xdr:from>
    <xdr:to>
      <xdr:col>2</xdr:col>
      <xdr:colOff>485775</xdr:colOff>
      <xdr:row>58</xdr:row>
      <xdr:rowOff>142875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0592" t="40390" r="36742" b="52604"/>
        <a:stretch/>
      </xdr:blipFill>
      <xdr:spPr>
        <a:xfrm>
          <a:off x="57150" y="10896600"/>
          <a:ext cx="1647825" cy="485775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63</xdr:row>
      <xdr:rowOff>57150</xdr:rowOff>
    </xdr:from>
    <xdr:to>
      <xdr:col>8</xdr:col>
      <xdr:colOff>542925</xdr:colOff>
      <xdr:row>73</xdr:row>
      <xdr:rowOff>57150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0354" t="41351" r="48090" b="31173"/>
        <a:stretch/>
      </xdr:blipFill>
      <xdr:spPr>
        <a:xfrm>
          <a:off x="2533650" y="12249150"/>
          <a:ext cx="4105275" cy="190500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609600</xdr:colOff>
      <xdr:row>79</xdr:row>
      <xdr:rowOff>66675</xdr:rowOff>
    </xdr:from>
    <xdr:to>
      <xdr:col>2</xdr:col>
      <xdr:colOff>1019176</xdr:colOff>
      <xdr:row>81</xdr:row>
      <xdr:rowOff>161925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0970" t="66080" r="65882" b="27051"/>
        <a:stretch/>
      </xdr:blipFill>
      <xdr:spPr>
        <a:xfrm>
          <a:off x="1828800" y="15306675"/>
          <a:ext cx="409576" cy="476250"/>
        </a:xfrm>
        <a:prstGeom prst="rect">
          <a:avLst/>
        </a:prstGeom>
      </xdr:spPr>
    </xdr:pic>
    <xdr:clientData/>
  </xdr:twoCellAnchor>
  <xdr:twoCellAnchor editAs="oneCell">
    <xdr:from>
      <xdr:col>4</xdr:col>
      <xdr:colOff>981075</xdr:colOff>
      <xdr:row>78</xdr:row>
      <xdr:rowOff>114301</xdr:rowOff>
    </xdr:from>
    <xdr:to>
      <xdr:col>5</xdr:col>
      <xdr:colOff>114300</xdr:colOff>
      <xdr:row>83</xdr:row>
      <xdr:rowOff>95251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5875" t="34208" r="60872" b="52329"/>
        <a:stretch/>
      </xdr:blipFill>
      <xdr:spPr>
        <a:xfrm>
          <a:off x="4124325" y="15163801"/>
          <a:ext cx="40005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82</xdr:row>
      <xdr:rowOff>152400</xdr:rowOff>
    </xdr:from>
    <xdr:to>
      <xdr:col>6</xdr:col>
      <xdr:colOff>180975</xdr:colOff>
      <xdr:row>88</xdr:row>
      <xdr:rowOff>66675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1013" t="31460" r="39816" b="53291"/>
        <a:stretch/>
      </xdr:blipFill>
      <xdr:spPr>
        <a:xfrm>
          <a:off x="19050" y="15963900"/>
          <a:ext cx="5095875" cy="10572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95</xdr:row>
      <xdr:rowOff>66674</xdr:rowOff>
    </xdr:from>
    <xdr:to>
      <xdr:col>3</xdr:col>
      <xdr:colOff>123825</xdr:colOff>
      <xdr:row>97</xdr:row>
      <xdr:rowOff>19049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32727" t="48770" r="49335" b="46422"/>
        <a:stretch/>
      </xdr:blipFill>
      <xdr:spPr>
        <a:xfrm>
          <a:off x="95250" y="18354674"/>
          <a:ext cx="2333625" cy="333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"/>
  <sheetViews>
    <sheetView tabSelected="1" zoomScale="70" zoomScaleNormal="70" workbookViewId="0">
      <selection activeCell="O30" sqref="O30"/>
    </sheetView>
  </sheetViews>
  <sheetFormatPr defaultRowHeight="15.75" x14ac:dyDescent="0.25"/>
  <cols>
    <col min="1" max="1" width="16.85546875" style="1" customWidth="1"/>
    <col min="2" max="2" width="11.28515625" style="1" customWidth="1"/>
    <col min="3" max="3" width="13.140625" style="1" bestFit="1" customWidth="1"/>
    <col min="4" max="4" width="16.5703125" style="1" bestFit="1" customWidth="1"/>
    <col min="5" max="5" width="12" style="1" customWidth="1"/>
    <col min="6" max="6" width="17.7109375" style="1" customWidth="1"/>
    <col min="7" max="7" width="12.42578125" style="1" customWidth="1"/>
    <col min="8" max="8" width="14.28515625" style="1" customWidth="1"/>
    <col min="9" max="9" width="11.85546875" style="1" customWidth="1"/>
    <col min="10" max="10" width="11.7109375" style="1" customWidth="1"/>
    <col min="11" max="11" width="9.140625" style="1"/>
    <col min="12" max="12" width="11.5703125" style="1" customWidth="1"/>
    <col min="13" max="13" width="17.5703125" style="1" customWidth="1"/>
    <col min="14" max="16384" width="9.140625" style="1"/>
  </cols>
  <sheetData>
    <row r="1" spans="1:11" x14ac:dyDescent="0.25">
      <c r="A1" s="2" t="s">
        <v>0</v>
      </c>
      <c r="B1" s="3">
        <v>12600.29</v>
      </c>
      <c r="C1" s="3">
        <v>13370.69</v>
      </c>
      <c r="D1" s="3">
        <v>13809.27</v>
      </c>
      <c r="E1" s="3">
        <v>14790.72</v>
      </c>
      <c r="F1" s="3">
        <v>15650.55</v>
      </c>
      <c r="G1" s="3">
        <v>16464.240000000002</v>
      </c>
      <c r="H1" s="3">
        <v>17241.07</v>
      </c>
      <c r="I1" s="3">
        <v>17520.830000000002</v>
      </c>
      <c r="J1" s="3">
        <v>18091.919999999998</v>
      </c>
    </row>
    <row r="2" spans="1:11" ht="31.5" x14ac:dyDescent="0.25">
      <c r="A2" s="4" t="s">
        <v>1</v>
      </c>
      <c r="B2" s="3">
        <v>35.75</v>
      </c>
      <c r="C2" s="3">
        <v>39.82</v>
      </c>
      <c r="D2" s="3">
        <v>40.99</v>
      </c>
      <c r="E2" s="3">
        <v>47.16</v>
      </c>
      <c r="F2" s="3">
        <v>53.47</v>
      </c>
      <c r="G2" s="3">
        <v>58.59</v>
      </c>
      <c r="H2" s="3">
        <v>60.59</v>
      </c>
      <c r="I2" s="3">
        <v>59.74</v>
      </c>
      <c r="J2" s="3">
        <v>60.15</v>
      </c>
    </row>
    <row r="3" spans="1:11" ht="31.5" x14ac:dyDescent="0.25">
      <c r="A3" s="4" t="s">
        <v>2</v>
      </c>
      <c r="B3" s="3">
        <v>15.02</v>
      </c>
      <c r="C3" s="3">
        <v>16.350000000000001</v>
      </c>
      <c r="D3" s="3">
        <v>16.600000000000001</v>
      </c>
      <c r="E3" s="3">
        <v>18.010000000000002</v>
      </c>
      <c r="F3" s="3">
        <v>21.83</v>
      </c>
      <c r="G3" s="3">
        <v>23.58</v>
      </c>
      <c r="H3" s="3">
        <v>22.47</v>
      </c>
      <c r="I3" s="3">
        <v>20.23</v>
      </c>
      <c r="J3" s="3">
        <v>21.22</v>
      </c>
    </row>
    <row r="5" spans="1:11" x14ac:dyDescent="0.25">
      <c r="A5" s="73" t="s">
        <v>3</v>
      </c>
      <c r="B5" s="73"/>
      <c r="C5" s="73"/>
    </row>
    <row r="6" spans="1:11" x14ac:dyDescent="0.25">
      <c r="A6" s="2" t="s">
        <v>0</v>
      </c>
      <c r="B6" s="8" t="s">
        <v>11</v>
      </c>
      <c r="C6" s="18">
        <f>AVERAGE(B1:J1)</f>
        <v>15504.39777777778</v>
      </c>
    </row>
    <row r="7" spans="1:11" ht="31.5" x14ac:dyDescent="0.25">
      <c r="A7" s="4" t="s">
        <v>1</v>
      </c>
      <c r="B7" s="8" t="s">
        <v>10</v>
      </c>
      <c r="C7" s="18">
        <f>AVERAGE(B2:J2)</f>
        <v>50.695555555555558</v>
      </c>
    </row>
    <row r="8" spans="1:11" ht="31.5" x14ac:dyDescent="0.25">
      <c r="A8" s="4" t="s">
        <v>2</v>
      </c>
      <c r="B8" s="8" t="s">
        <v>9</v>
      </c>
      <c r="C8" s="18">
        <f>AVERAGE(B3:J3)</f>
        <v>19.478888888888889</v>
      </c>
    </row>
    <row r="10" spans="1:11" x14ac:dyDescent="0.25">
      <c r="A10" s="73" t="s">
        <v>4</v>
      </c>
      <c r="B10" s="73"/>
      <c r="C10" s="73"/>
    </row>
    <row r="11" spans="1:11" x14ac:dyDescent="0.25">
      <c r="A11" s="2" t="s">
        <v>0</v>
      </c>
      <c r="B11" s="8" t="s">
        <v>12</v>
      </c>
      <c r="C11" s="18">
        <f>C25/9</f>
        <v>3454367.0164172826</v>
      </c>
      <c r="D11" s="14">
        <f>_xlfn.VAR.P(B16:B24)</f>
        <v>3454367.0164172323</v>
      </c>
    </row>
    <row r="12" spans="1:11" ht="31.5" x14ac:dyDescent="0.25">
      <c r="A12" s="4" t="s">
        <v>1</v>
      </c>
      <c r="B12" s="8" t="s">
        <v>13</v>
      </c>
      <c r="C12" s="18">
        <f>G25/9</f>
        <v>87.494846913580261</v>
      </c>
      <c r="D12" s="14">
        <f>_xlfn.VAR.P(F16:F24)</f>
        <v>87.494846913580176</v>
      </c>
    </row>
    <row r="13" spans="1:11" ht="31.5" x14ac:dyDescent="0.25">
      <c r="A13" s="4" t="s">
        <v>2</v>
      </c>
      <c r="B13" s="8" t="s">
        <v>14</v>
      </c>
      <c r="C13" s="18">
        <f>K25/9</f>
        <v>8.334054320987649</v>
      </c>
      <c r="D13" s="14">
        <f>_xlfn.VAR.P(J16:J24)</f>
        <v>8.3340543209876312</v>
      </c>
    </row>
    <row r="15" spans="1:11" x14ac:dyDescent="0.25">
      <c r="A15" s="75" t="s">
        <v>6</v>
      </c>
      <c r="B15" s="75"/>
      <c r="C15" s="1" t="s">
        <v>7</v>
      </c>
      <c r="E15" s="75" t="s">
        <v>15</v>
      </c>
      <c r="F15" s="75"/>
      <c r="G15" s="1" t="s">
        <v>16</v>
      </c>
      <c r="I15" s="75" t="s">
        <v>17</v>
      </c>
      <c r="J15" s="75"/>
      <c r="K15" s="1" t="s">
        <v>18</v>
      </c>
    </row>
    <row r="16" spans="1:11" x14ac:dyDescent="0.25">
      <c r="A16" s="5">
        <v>1</v>
      </c>
      <c r="B16" s="3">
        <v>12600.29</v>
      </c>
      <c r="C16" s="3">
        <f t="shared" ref="C16:C24" si="0">(B16-$C$6)^2</f>
        <v>8433841.9849493913</v>
      </c>
      <c r="D16" s="9"/>
      <c r="E16" s="5">
        <v>1</v>
      </c>
      <c r="F16" s="7">
        <v>35.75</v>
      </c>
      <c r="G16" s="11">
        <f>(F16-$C$7)^2</f>
        <v>223.3696308641976</v>
      </c>
      <c r="H16" s="12"/>
      <c r="I16" s="5">
        <v>1</v>
      </c>
      <c r="J16" s="7">
        <v>15.02</v>
      </c>
      <c r="K16" s="7">
        <f>(J16-$C$8)^2</f>
        <v>19.881690123456796</v>
      </c>
    </row>
    <row r="17" spans="1:11" x14ac:dyDescent="0.25">
      <c r="A17" s="5">
        <v>2</v>
      </c>
      <c r="B17" s="3">
        <v>13370.69</v>
      </c>
      <c r="C17" s="3">
        <f t="shared" si="0"/>
        <v>4552708.8809493901</v>
      </c>
      <c r="D17" s="9"/>
      <c r="E17" s="5">
        <v>2</v>
      </c>
      <c r="F17" s="7">
        <v>39.82</v>
      </c>
      <c r="G17" s="11">
        <f t="shared" ref="G17:G24" si="1">(F17-$C$7)^2</f>
        <v>118.27770864197535</v>
      </c>
      <c r="H17" s="12"/>
      <c r="I17" s="5">
        <v>2</v>
      </c>
      <c r="J17" s="7">
        <v>16.350000000000001</v>
      </c>
      <c r="K17" s="7">
        <f t="shared" ref="K17:K24" si="2">(J17-$C$8)^2</f>
        <v>9.7899456790123391</v>
      </c>
    </row>
    <row r="18" spans="1:11" x14ac:dyDescent="0.25">
      <c r="A18" s="5">
        <v>3</v>
      </c>
      <c r="B18" s="3">
        <v>13809.27</v>
      </c>
      <c r="C18" s="3">
        <f t="shared" si="0"/>
        <v>2873458.182993833</v>
      </c>
      <c r="D18" s="9"/>
      <c r="E18" s="5">
        <v>3</v>
      </c>
      <c r="F18" s="7">
        <v>40.99</v>
      </c>
      <c r="G18" s="11">
        <f t="shared" si="1"/>
        <v>94.197808641975314</v>
      </c>
      <c r="H18" s="12"/>
      <c r="I18" s="5">
        <v>3</v>
      </c>
      <c r="J18" s="7">
        <v>16.600000000000001</v>
      </c>
      <c r="K18" s="7">
        <f t="shared" si="2"/>
        <v>8.2880012345678953</v>
      </c>
    </row>
    <row r="19" spans="1:11" x14ac:dyDescent="0.25">
      <c r="A19" s="5">
        <v>4</v>
      </c>
      <c r="B19" s="3">
        <v>14790.72</v>
      </c>
      <c r="C19" s="3">
        <f t="shared" si="0"/>
        <v>509335.97049383126</v>
      </c>
      <c r="D19" s="9"/>
      <c r="E19" s="5">
        <v>4</v>
      </c>
      <c r="F19" s="7">
        <v>47.16</v>
      </c>
      <c r="G19" s="11">
        <f t="shared" si="1"/>
        <v>12.500153086419793</v>
      </c>
      <c r="H19" s="12"/>
      <c r="I19" s="5">
        <v>4</v>
      </c>
      <c r="J19" s="7">
        <v>18.010000000000002</v>
      </c>
      <c r="K19" s="7">
        <f t="shared" si="2"/>
        <v>2.1576345679012308</v>
      </c>
    </row>
    <row r="20" spans="1:11" x14ac:dyDescent="0.25">
      <c r="A20" s="5">
        <v>5</v>
      </c>
      <c r="B20" s="3">
        <v>15650.55</v>
      </c>
      <c r="C20" s="3">
        <f t="shared" si="0"/>
        <v>21360.472060492968</v>
      </c>
      <c r="D20" s="9"/>
      <c r="E20" s="5">
        <v>5</v>
      </c>
      <c r="F20" s="7">
        <v>53.47</v>
      </c>
      <c r="G20" s="11">
        <f t="shared" si="1"/>
        <v>7.6975419753086234</v>
      </c>
      <c r="H20" s="12"/>
      <c r="I20" s="5">
        <v>5</v>
      </c>
      <c r="J20" s="7">
        <v>21.83</v>
      </c>
      <c r="K20" s="7">
        <f t="shared" si="2"/>
        <v>5.5277234567901141</v>
      </c>
    </row>
    <row r="21" spans="1:11" x14ac:dyDescent="0.25">
      <c r="A21" s="5">
        <v>6</v>
      </c>
      <c r="B21" s="3">
        <v>16464.240000000002</v>
      </c>
      <c r="C21" s="3">
        <f t="shared" si="0"/>
        <v>921297.09156049264</v>
      </c>
      <c r="D21" s="9"/>
      <c r="E21" s="5">
        <v>6</v>
      </c>
      <c r="F21" s="7">
        <v>58.59</v>
      </c>
      <c r="G21" s="11">
        <f t="shared" si="1"/>
        <v>62.322253086419771</v>
      </c>
      <c r="H21" s="12"/>
      <c r="I21" s="5">
        <v>6</v>
      </c>
      <c r="J21" s="7">
        <v>23.58</v>
      </c>
      <c r="K21" s="7">
        <f t="shared" si="2"/>
        <v>16.819112345678995</v>
      </c>
    </row>
    <row r="22" spans="1:11" x14ac:dyDescent="0.25">
      <c r="A22" s="5">
        <v>7</v>
      </c>
      <c r="B22" s="3">
        <v>17241.07</v>
      </c>
      <c r="C22" s="3">
        <f t="shared" si="0"/>
        <v>3016030.4074382628</v>
      </c>
      <c r="D22" s="9"/>
      <c r="E22" s="5">
        <v>7</v>
      </c>
      <c r="F22" s="7">
        <v>60.59</v>
      </c>
      <c r="G22" s="11">
        <f t="shared" si="1"/>
        <v>97.900030864197561</v>
      </c>
      <c r="H22" s="12"/>
      <c r="I22" s="5">
        <v>7</v>
      </c>
      <c r="J22" s="7">
        <v>22.47</v>
      </c>
      <c r="K22" s="7">
        <f t="shared" si="2"/>
        <v>8.9467456790123379</v>
      </c>
    </row>
    <row r="23" spans="1:11" x14ac:dyDescent="0.25">
      <c r="A23" s="5">
        <v>8</v>
      </c>
      <c r="B23" s="3">
        <v>17520.830000000002</v>
      </c>
      <c r="C23" s="3">
        <f t="shared" si="0"/>
        <v>4065998.9068160476</v>
      </c>
      <c r="D23" s="9"/>
      <c r="E23" s="5">
        <v>8</v>
      </c>
      <c r="F23" s="7">
        <v>59.74</v>
      </c>
      <c r="G23" s="11">
        <f t="shared" si="1"/>
        <v>81.801975308641971</v>
      </c>
      <c r="H23" s="12"/>
      <c r="I23" s="5">
        <v>8</v>
      </c>
      <c r="J23" s="7">
        <v>20.23</v>
      </c>
      <c r="K23" s="7">
        <f t="shared" si="2"/>
        <v>0.56416790123456817</v>
      </c>
    </row>
    <row r="24" spans="1:11" x14ac:dyDescent="0.25">
      <c r="A24" s="5">
        <v>9</v>
      </c>
      <c r="B24" s="3">
        <v>18091.919999999998</v>
      </c>
      <c r="C24" s="3">
        <f t="shared" si="0"/>
        <v>6695271.2504938068</v>
      </c>
      <c r="D24" s="9"/>
      <c r="E24" s="5">
        <v>9</v>
      </c>
      <c r="F24" s="7">
        <v>60.15</v>
      </c>
      <c r="G24" s="11">
        <f t="shared" si="1"/>
        <v>89.386519753086347</v>
      </c>
      <c r="H24" s="12"/>
      <c r="I24" s="5">
        <v>9</v>
      </c>
      <c r="J24" s="7">
        <v>21.22</v>
      </c>
      <c r="K24" s="7">
        <f t="shared" si="2"/>
        <v>3.0314679012345631</v>
      </c>
    </row>
    <row r="25" spans="1:11" x14ac:dyDescent="0.25">
      <c r="B25" s="1" t="s">
        <v>8</v>
      </c>
      <c r="C25" s="6">
        <f>SUM(C16:C24)</f>
        <v>31089303.147755545</v>
      </c>
      <c r="D25" s="10"/>
      <c r="F25" s="1" t="s">
        <v>8</v>
      </c>
      <c r="G25" s="6">
        <f>SUM(G16:G24)</f>
        <v>787.45362222222229</v>
      </c>
      <c r="J25" s="1" t="s">
        <v>8</v>
      </c>
      <c r="K25" s="6">
        <f>SUM(K16:K24)</f>
        <v>75.006488888888839</v>
      </c>
    </row>
    <row r="27" spans="1:11" x14ac:dyDescent="0.25">
      <c r="A27" s="73" t="s">
        <v>19</v>
      </c>
      <c r="B27" s="73"/>
      <c r="C27" s="73"/>
      <c r="D27" s="73"/>
    </row>
    <row r="28" spans="1:11" x14ac:dyDescent="0.25">
      <c r="A28" s="2" t="s">
        <v>0</v>
      </c>
      <c r="B28" s="8" t="s">
        <v>20</v>
      </c>
      <c r="C28" s="18">
        <f>SQRT(C11)</f>
        <v>1858.5927516315355</v>
      </c>
    </row>
    <row r="29" spans="1:11" ht="31.5" x14ac:dyDescent="0.25">
      <c r="A29" s="4" t="s">
        <v>1</v>
      </c>
      <c r="B29" s="8" t="s">
        <v>21</v>
      </c>
      <c r="C29" s="18">
        <f t="shared" ref="C29:C30" si="3">SQRT(C12)</f>
        <v>9.3538680188240981</v>
      </c>
    </row>
    <row r="30" spans="1:11" ht="31.5" x14ac:dyDescent="0.25">
      <c r="A30" s="4" t="s">
        <v>2</v>
      </c>
      <c r="B30" s="8" t="s">
        <v>22</v>
      </c>
      <c r="C30" s="18">
        <f t="shared" si="3"/>
        <v>2.8868762219720554</v>
      </c>
    </row>
    <row r="32" spans="1:11" x14ac:dyDescent="0.25">
      <c r="A32" s="74" t="s">
        <v>23</v>
      </c>
      <c r="B32" s="74"/>
      <c r="C32" s="74"/>
      <c r="D32" s="74"/>
    </row>
    <row r="35" spans="1:13" x14ac:dyDescent="0.25">
      <c r="A35" s="16" t="s">
        <v>24</v>
      </c>
      <c r="B35" s="16" t="s">
        <v>5</v>
      </c>
      <c r="C35" s="16" t="s">
        <v>25</v>
      </c>
      <c r="D35" s="16" t="s">
        <v>26</v>
      </c>
      <c r="E35" s="16" t="s">
        <v>27</v>
      </c>
      <c r="F35" s="15" t="s">
        <v>28</v>
      </c>
      <c r="H35" s="16" t="s">
        <v>24</v>
      </c>
      <c r="I35" s="16" t="s">
        <v>5</v>
      </c>
      <c r="J35" s="16" t="s">
        <v>25</v>
      </c>
      <c r="K35" s="16" t="s">
        <v>31</v>
      </c>
      <c r="L35" s="16" t="s">
        <v>32</v>
      </c>
      <c r="M35" s="15" t="s">
        <v>33</v>
      </c>
    </row>
    <row r="36" spans="1:13" x14ac:dyDescent="0.25">
      <c r="A36" s="5">
        <v>1</v>
      </c>
      <c r="B36" s="3">
        <v>12600.29</v>
      </c>
      <c r="C36" s="3">
        <f>B36-$C$6</f>
        <v>-2904.1077777777791</v>
      </c>
      <c r="D36" s="7">
        <v>35.75</v>
      </c>
      <c r="E36" s="3">
        <f>D36-$C$7</f>
        <v>-14.945555555555558</v>
      </c>
      <c r="F36" s="3">
        <f>C36*E36</f>
        <v>43403.504132098795</v>
      </c>
      <c r="H36" s="5">
        <v>1</v>
      </c>
      <c r="I36" s="3">
        <v>12600.29</v>
      </c>
      <c r="J36" s="3">
        <f>I36-$C$6</f>
        <v>-2904.1077777777791</v>
      </c>
      <c r="K36" s="7">
        <v>15.02</v>
      </c>
      <c r="L36" s="3">
        <f>K36-$C$8</f>
        <v>-4.4588888888888896</v>
      </c>
      <c r="M36" s="3">
        <f>J36*L36</f>
        <v>12949.093902469143</v>
      </c>
    </row>
    <row r="37" spans="1:13" x14ac:dyDescent="0.25">
      <c r="A37" s="5">
        <v>2</v>
      </c>
      <c r="B37" s="3">
        <v>13370.69</v>
      </c>
      <c r="C37" s="3">
        <f t="shared" ref="C37:C44" si="4">B37-$C$6</f>
        <v>-2133.7077777777795</v>
      </c>
      <c r="D37" s="7">
        <v>39.82</v>
      </c>
      <c r="E37" s="3">
        <f t="shared" ref="E37:E44" si="5">D37-$C$7</f>
        <v>-10.875555555555557</v>
      </c>
      <c r="F37" s="3">
        <f t="shared" ref="F37:F44" si="6">C37*E37</f>
        <v>23205.257476543233</v>
      </c>
      <c r="H37" s="5">
        <v>2</v>
      </c>
      <c r="I37" s="3">
        <v>13370.69</v>
      </c>
      <c r="J37" s="3">
        <f t="shared" ref="J37:J43" si="7">I37-$C$6</f>
        <v>-2133.7077777777795</v>
      </c>
      <c r="K37" s="7">
        <v>16.350000000000001</v>
      </c>
      <c r="L37" s="3">
        <f t="shared" ref="L37:L44" si="8">K37-$C$8</f>
        <v>-3.1288888888888877</v>
      </c>
      <c r="M37" s="3">
        <f t="shared" ref="M37:M44" si="9">J37*L37</f>
        <v>6676.1345580246943</v>
      </c>
    </row>
    <row r="38" spans="1:13" x14ac:dyDescent="0.25">
      <c r="A38" s="5">
        <v>3</v>
      </c>
      <c r="B38" s="3">
        <v>13809.27</v>
      </c>
      <c r="C38" s="3">
        <f t="shared" si="4"/>
        <v>-1695.1277777777796</v>
      </c>
      <c r="D38" s="7">
        <v>40.99</v>
      </c>
      <c r="E38" s="3">
        <f t="shared" si="5"/>
        <v>-9.7055555555555557</v>
      </c>
      <c r="F38" s="3">
        <f t="shared" si="6"/>
        <v>16452.156820987671</v>
      </c>
      <c r="H38" s="5">
        <v>3</v>
      </c>
      <c r="I38" s="3">
        <v>13809.27</v>
      </c>
      <c r="J38" s="3">
        <f t="shared" si="7"/>
        <v>-1695.1277777777796</v>
      </c>
      <c r="K38" s="7">
        <v>16.600000000000001</v>
      </c>
      <c r="L38" s="3">
        <f t="shared" si="8"/>
        <v>-2.8788888888888877</v>
      </c>
      <c r="M38" s="3">
        <f t="shared" si="9"/>
        <v>4880.0845246913614</v>
      </c>
    </row>
    <row r="39" spans="1:13" x14ac:dyDescent="0.25">
      <c r="A39" s="5">
        <v>4</v>
      </c>
      <c r="B39" s="3">
        <v>14790.72</v>
      </c>
      <c r="C39" s="3">
        <f t="shared" si="4"/>
        <v>-713.67777777778065</v>
      </c>
      <c r="D39" s="7">
        <v>47.16</v>
      </c>
      <c r="E39" s="3">
        <f t="shared" si="5"/>
        <v>-3.5355555555555611</v>
      </c>
      <c r="F39" s="3">
        <f t="shared" si="6"/>
        <v>2523.2474320987794</v>
      </c>
      <c r="H39" s="5">
        <v>4</v>
      </c>
      <c r="I39" s="3">
        <v>14790.72</v>
      </c>
      <c r="J39" s="3">
        <f t="shared" si="7"/>
        <v>-713.67777777778065</v>
      </c>
      <c r="K39" s="7">
        <v>18.010000000000002</v>
      </c>
      <c r="L39" s="3">
        <f t="shared" si="8"/>
        <v>-1.4688888888888876</v>
      </c>
      <c r="M39" s="3">
        <f t="shared" si="9"/>
        <v>1048.3133580246947</v>
      </c>
    </row>
    <row r="40" spans="1:13" x14ac:dyDescent="0.25">
      <c r="A40" s="5">
        <v>5</v>
      </c>
      <c r="B40" s="3">
        <v>15650.55</v>
      </c>
      <c r="C40" s="3">
        <f t="shared" si="4"/>
        <v>146.15222222221928</v>
      </c>
      <c r="D40" s="7">
        <v>53.47</v>
      </c>
      <c r="E40" s="3">
        <f t="shared" si="5"/>
        <v>2.7744444444444412</v>
      </c>
      <c r="F40" s="3">
        <f t="shared" si="6"/>
        <v>405.4912209876457</v>
      </c>
      <c r="H40" s="5">
        <v>5</v>
      </c>
      <c r="I40" s="3">
        <v>15650.55</v>
      </c>
      <c r="J40" s="3">
        <f t="shared" si="7"/>
        <v>146.15222222221928</v>
      </c>
      <c r="K40" s="7">
        <v>21.83</v>
      </c>
      <c r="L40" s="3">
        <f t="shared" si="8"/>
        <v>2.3511111111111092</v>
      </c>
      <c r="M40" s="3">
        <f t="shared" si="9"/>
        <v>343.62011358023972</v>
      </c>
    </row>
    <row r="41" spans="1:13" x14ac:dyDescent="0.25">
      <c r="A41" s="5">
        <v>6</v>
      </c>
      <c r="B41" s="3">
        <v>16464.240000000002</v>
      </c>
      <c r="C41" s="3">
        <f t="shared" si="4"/>
        <v>959.84222222222161</v>
      </c>
      <c r="D41" s="7">
        <v>58.59</v>
      </c>
      <c r="E41" s="3">
        <f t="shared" si="5"/>
        <v>7.8944444444444457</v>
      </c>
      <c r="F41" s="3">
        <f t="shared" si="6"/>
        <v>7577.4210987654287</v>
      </c>
      <c r="H41" s="5">
        <v>6</v>
      </c>
      <c r="I41" s="3">
        <v>16464.240000000002</v>
      </c>
      <c r="J41" s="3">
        <f t="shared" si="7"/>
        <v>959.84222222222161</v>
      </c>
      <c r="K41" s="7">
        <v>23.58</v>
      </c>
      <c r="L41" s="3">
        <f t="shared" si="8"/>
        <v>4.1011111111111092</v>
      </c>
      <c r="M41" s="3">
        <f t="shared" si="9"/>
        <v>3936.4196024691314</v>
      </c>
    </row>
    <row r="42" spans="1:13" x14ac:dyDescent="0.25">
      <c r="A42" s="5">
        <v>7</v>
      </c>
      <c r="B42" s="3">
        <v>17241.07</v>
      </c>
      <c r="C42" s="3">
        <f t="shared" si="4"/>
        <v>1736.6722222222197</v>
      </c>
      <c r="D42" s="7">
        <v>60.59</v>
      </c>
      <c r="E42" s="3">
        <f t="shared" si="5"/>
        <v>9.8944444444444457</v>
      </c>
      <c r="F42" s="3">
        <f t="shared" si="6"/>
        <v>17183.406820987631</v>
      </c>
      <c r="H42" s="5">
        <v>7</v>
      </c>
      <c r="I42" s="3">
        <v>17241.07</v>
      </c>
      <c r="J42" s="3">
        <f t="shared" si="7"/>
        <v>1736.6722222222197</v>
      </c>
      <c r="K42" s="7">
        <v>22.47</v>
      </c>
      <c r="L42" s="3">
        <f t="shared" si="8"/>
        <v>2.9911111111111097</v>
      </c>
      <c r="M42" s="3">
        <f t="shared" si="9"/>
        <v>5194.5795802469038</v>
      </c>
    </row>
    <row r="43" spans="1:13" x14ac:dyDescent="0.25">
      <c r="A43" s="5">
        <v>8</v>
      </c>
      <c r="B43" s="3">
        <v>17520.830000000002</v>
      </c>
      <c r="C43" s="3">
        <f t="shared" si="4"/>
        <v>2016.4322222222218</v>
      </c>
      <c r="D43" s="7">
        <v>59.74</v>
      </c>
      <c r="E43" s="3">
        <f t="shared" si="5"/>
        <v>9.0444444444444443</v>
      </c>
      <c r="F43" s="3">
        <f t="shared" si="6"/>
        <v>18237.509209876538</v>
      </c>
      <c r="H43" s="5">
        <v>8</v>
      </c>
      <c r="I43" s="3">
        <v>17520.830000000002</v>
      </c>
      <c r="J43" s="3">
        <f t="shared" si="7"/>
        <v>2016.4322222222218</v>
      </c>
      <c r="K43" s="7">
        <v>20.23</v>
      </c>
      <c r="L43" s="3">
        <f t="shared" si="8"/>
        <v>0.75111111111111128</v>
      </c>
      <c r="M43" s="3">
        <f t="shared" si="9"/>
        <v>1514.5646469135802</v>
      </c>
    </row>
    <row r="44" spans="1:13" x14ac:dyDescent="0.25">
      <c r="A44" s="5">
        <v>9</v>
      </c>
      <c r="B44" s="3">
        <v>18091.919999999998</v>
      </c>
      <c r="C44" s="3">
        <f t="shared" si="4"/>
        <v>2587.5222222222183</v>
      </c>
      <c r="D44" s="7">
        <v>60.15</v>
      </c>
      <c r="E44" s="3">
        <f t="shared" si="5"/>
        <v>9.4544444444444409</v>
      </c>
      <c r="F44" s="3">
        <f t="shared" si="6"/>
        <v>24463.585098765387</v>
      </c>
      <c r="H44" s="5">
        <v>9</v>
      </c>
      <c r="I44" s="3">
        <v>18091.919999999998</v>
      </c>
      <c r="J44" s="3">
        <f>I44-$C$6</f>
        <v>2587.5222222222183</v>
      </c>
      <c r="K44" s="7">
        <v>21.22</v>
      </c>
      <c r="L44" s="3">
        <f t="shared" si="8"/>
        <v>1.7411111111111097</v>
      </c>
      <c r="M44" s="3">
        <f t="shared" si="9"/>
        <v>4505.1636913580141</v>
      </c>
    </row>
    <row r="45" spans="1:13" x14ac:dyDescent="0.25">
      <c r="E45" s="1" t="s">
        <v>8</v>
      </c>
      <c r="F45" s="6">
        <f>SUM(F36:F44)</f>
        <v>153451.5793111111</v>
      </c>
      <c r="L45" s="1" t="s">
        <v>8</v>
      </c>
      <c r="M45" s="6">
        <f>SUM(M36:M44)</f>
        <v>41047.973977777765</v>
      </c>
    </row>
    <row r="46" spans="1:13" x14ac:dyDescent="0.25">
      <c r="A46" s="1" t="s">
        <v>29</v>
      </c>
      <c r="E46" s="17" t="s">
        <v>30</v>
      </c>
      <c r="F46" s="21">
        <f>F45/9</f>
        <v>17050.175479012345</v>
      </c>
      <c r="H46" s="1" t="s">
        <v>34</v>
      </c>
      <c r="L46" s="17" t="s">
        <v>117</v>
      </c>
      <c r="M46" s="21">
        <f>M45/9</f>
        <v>4560.8859975308624</v>
      </c>
    </row>
    <row r="47" spans="1:13" x14ac:dyDescent="0.25">
      <c r="F47" s="22">
        <f>_xlfn.COVARIANCE.P(B36:B44,D36:D44)</f>
        <v>17050.175479012345</v>
      </c>
      <c r="M47" s="22">
        <f>_xlfn.COVARIANCE.P(I36:I44,K36:K44)</f>
        <v>4560.8859975308624</v>
      </c>
    </row>
    <row r="49" spans="1:13" x14ac:dyDescent="0.25">
      <c r="A49" s="73" t="s">
        <v>35</v>
      </c>
      <c r="B49" s="73"/>
      <c r="C49" s="73"/>
      <c r="D49" s="73"/>
      <c r="E49" s="73"/>
      <c r="F49" s="73"/>
      <c r="G49" s="73"/>
    </row>
    <row r="53" spans="1:13" x14ac:dyDescent="0.25">
      <c r="A53" s="1" t="s">
        <v>36</v>
      </c>
      <c r="E53" s="17" t="s">
        <v>37</v>
      </c>
      <c r="F53" s="20">
        <f>F46/(C28*C29)</f>
        <v>0.98073884281694113</v>
      </c>
      <c r="H53" s="1" t="s">
        <v>38</v>
      </c>
      <c r="L53" s="17" t="s">
        <v>39</v>
      </c>
      <c r="M53" s="20">
        <f>M46/(C28*C30)</f>
        <v>0.8500350123409377</v>
      </c>
    </row>
    <row r="54" spans="1:13" x14ac:dyDescent="0.25">
      <c r="F54" s="23">
        <f>CORREL(B36:B44,D36:D44)</f>
        <v>0.98073884281694113</v>
      </c>
      <c r="M54" s="23">
        <f>CORREL(I36:I44,K36:K44)</f>
        <v>0.8500350123409377</v>
      </c>
    </row>
    <row r="56" spans="1:13" x14ac:dyDescent="0.25">
      <c r="A56" s="73" t="s">
        <v>40</v>
      </c>
      <c r="B56" s="73"/>
      <c r="C56" s="73"/>
      <c r="D56" s="73"/>
      <c r="E56" s="73"/>
      <c r="F56" s="73"/>
      <c r="G56" s="73"/>
      <c r="H56" s="73"/>
      <c r="I56" s="73"/>
    </row>
    <row r="62" spans="1:13" x14ac:dyDescent="0.25">
      <c r="A62" s="1" t="s">
        <v>41</v>
      </c>
      <c r="H62" s="1" t="s">
        <v>46</v>
      </c>
    </row>
    <row r="63" spans="1:13" x14ac:dyDescent="0.25">
      <c r="A63" s="24" t="s">
        <v>42</v>
      </c>
      <c r="B63" s="13">
        <f>F53</f>
        <v>0.98073884281694113</v>
      </c>
      <c r="H63" s="24" t="s">
        <v>43</v>
      </c>
      <c r="I63" s="13">
        <f>M53</f>
        <v>0.8500350123409377</v>
      </c>
    </row>
    <row r="64" spans="1:13" x14ac:dyDescent="0.25">
      <c r="A64" s="24" t="s">
        <v>43</v>
      </c>
      <c r="B64" s="13">
        <f>M53</f>
        <v>0.8500350123409377</v>
      </c>
      <c r="H64" s="24" t="s">
        <v>42</v>
      </c>
      <c r="I64" s="13">
        <f>F53</f>
        <v>0.98073884281694113</v>
      </c>
    </row>
    <row r="65" spans="1:9" x14ac:dyDescent="0.25">
      <c r="A65" s="24" t="s">
        <v>44</v>
      </c>
      <c r="B65" s="13">
        <f>CORREL(D36:D44,K36:K44)</f>
        <v>0.92808091388334046</v>
      </c>
      <c r="H65" s="24" t="s">
        <v>44</v>
      </c>
      <c r="I65" s="13">
        <f>B65</f>
        <v>0.92808091388334046</v>
      </c>
    </row>
    <row r="66" spans="1:9" x14ac:dyDescent="0.25">
      <c r="A66" s="25" t="s">
        <v>45</v>
      </c>
      <c r="B66" s="19">
        <f>(B63-B64*B65)/SQRT((1-B64^2)*(1-B65^2))</f>
        <v>0.97805673677069849</v>
      </c>
      <c r="H66" s="25" t="s">
        <v>47</v>
      </c>
      <c r="I66" s="19">
        <f>(I63-I64*I65)/SQRT((1-I64^2)*(1-I65^2))</f>
        <v>-0.8272569581113256</v>
      </c>
    </row>
  </sheetData>
  <mergeCells count="9">
    <mergeCell ref="A56:I56"/>
    <mergeCell ref="A27:D27"/>
    <mergeCell ref="A32:D32"/>
    <mergeCell ref="A49:G49"/>
    <mergeCell ref="A5:C5"/>
    <mergeCell ref="A10:C10"/>
    <mergeCell ref="A15:B15"/>
    <mergeCell ref="E15:F15"/>
    <mergeCell ref="I15:J1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0"/>
  <sheetViews>
    <sheetView workbookViewId="0">
      <selection activeCell="C85" sqref="C85"/>
    </sheetView>
  </sheetViews>
  <sheetFormatPr defaultRowHeight="15" x14ac:dyDescent="0.25"/>
  <cols>
    <col min="1" max="1" width="9.140625" style="26"/>
    <col min="2" max="2" width="13" style="26" customWidth="1"/>
    <col min="3" max="3" width="12.7109375" style="26" customWidth="1"/>
    <col min="4" max="7" width="9.140625" style="26"/>
    <col min="8" max="8" width="13.85546875" style="26" customWidth="1"/>
    <col min="9" max="16384" width="9.140625" style="26"/>
  </cols>
  <sheetData>
    <row r="1" spans="1:11" x14ac:dyDescent="0.25">
      <c r="A1" s="77" t="s">
        <v>123</v>
      </c>
      <c r="B1" s="77"/>
      <c r="C1" s="77"/>
      <c r="D1" s="77"/>
      <c r="E1" s="77"/>
      <c r="F1" s="77"/>
      <c r="G1" s="77"/>
      <c r="H1" s="77"/>
      <c r="I1" s="77"/>
      <c r="J1" s="77"/>
      <c r="K1" s="77"/>
    </row>
    <row r="2" spans="1:11" x14ac:dyDescent="0.25">
      <c r="A2" s="39" t="s">
        <v>48</v>
      </c>
      <c r="B2" s="39" t="s">
        <v>5</v>
      </c>
      <c r="C2" s="39" t="s">
        <v>49</v>
      </c>
      <c r="D2" s="39" t="s">
        <v>77</v>
      </c>
    </row>
    <row r="3" spans="1:11" x14ac:dyDescent="0.25">
      <c r="A3" s="40">
        <v>1</v>
      </c>
      <c r="B3" s="40">
        <v>12600.29</v>
      </c>
      <c r="C3" s="40">
        <v>35.75</v>
      </c>
      <c r="D3" s="41">
        <f>$D$14+$D$13*C3</f>
        <v>12591.948029677264</v>
      </c>
    </row>
    <row r="4" spans="1:11" x14ac:dyDescent="0.25">
      <c r="A4" s="40">
        <v>2</v>
      </c>
      <c r="B4" s="40">
        <v>13370.69</v>
      </c>
      <c r="C4" s="40">
        <v>39.82</v>
      </c>
      <c r="D4" s="41">
        <f t="shared" ref="D4:D11" si="0">$D$14+$D$13*C4</f>
        <v>13385.071472342657</v>
      </c>
    </row>
    <row r="5" spans="1:11" x14ac:dyDescent="0.25">
      <c r="A5" s="40">
        <v>3</v>
      </c>
      <c r="B5" s="40">
        <v>13809.27</v>
      </c>
      <c r="C5" s="40">
        <v>40.99</v>
      </c>
      <c r="D5" s="41">
        <f t="shared" si="0"/>
        <v>13613.070103280865</v>
      </c>
    </row>
    <row r="6" spans="1:11" x14ac:dyDescent="0.25">
      <c r="A6" s="40">
        <v>4</v>
      </c>
      <c r="B6" s="40">
        <v>14790.72</v>
      </c>
      <c r="C6" s="40">
        <v>47.16</v>
      </c>
      <c r="D6" s="41">
        <f t="shared" si="0"/>
        <v>14815.421857886629</v>
      </c>
    </row>
    <row r="7" spans="1:11" x14ac:dyDescent="0.25">
      <c r="A7" s="40">
        <v>5</v>
      </c>
      <c r="B7" s="40">
        <v>15650.55</v>
      </c>
      <c r="C7" s="40">
        <v>53.47</v>
      </c>
      <c r="D7" s="41">
        <f t="shared" si="0"/>
        <v>16045.05549995509</v>
      </c>
    </row>
    <row r="8" spans="1:11" x14ac:dyDescent="0.25">
      <c r="A8" s="40">
        <v>6</v>
      </c>
      <c r="B8" s="40">
        <v>16464.240000000002</v>
      </c>
      <c r="C8" s="40">
        <v>58.59</v>
      </c>
      <c r="D8" s="41">
        <f t="shared" si="0"/>
        <v>17042.793098590671</v>
      </c>
    </row>
    <row r="9" spans="1:11" x14ac:dyDescent="0.25">
      <c r="A9" s="40">
        <v>7</v>
      </c>
      <c r="B9" s="40">
        <v>17241.07</v>
      </c>
      <c r="C9" s="40">
        <v>60.59</v>
      </c>
      <c r="D9" s="41">
        <f t="shared" si="0"/>
        <v>17432.534348057692</v>
      </c>
    </row>
    <row r="10" spans="1:11" x14ac:dyDescent="0.25">
      <c r="A10" s="40">
        <v>8</v>
      </c>
      <c r="B10" s="40">
        <v>17520.830000000002</v>
      </c>
      <c r="C10" s="40">
        <v>59.74</v>
      </c>
      <c r="D10" s="41">
        <f t="shared" si="0"/>
        <v>17266.894317034206</v>
      </c>
    </row>
    <row r="11" spans="1:11" x14ac:dyDescent="0.25">
      <c r="A11" s="40">
        <v>9</v>
      </c>
      <c r="B11" s="40">
        <v>18091.919999999998</v>
      </c>
      <c r="C11" s="40">
        <v>60.15</v>
      </c>
      <c r="D11" s="41">
        <f t="shared" si="0"/>
        <v>17346.791273174946</v>
      </c>
    </row>
    <row r="13" spans="1:11" x14ac:dyDescent="0.25">
      <c r="A13" s="78" t="s">
        <v>78</v>
      </c>
      <c r="B13" s="78"/>
      <c r="C13" s="44" t="s">
        <v>52</v>
      </c>
      <c r="D13" s="43">
        <f>'Задания 1-6'!F46/'Задания 1-6'!C12</f>
        <v>194.87062473351159</v>
      </c>
      <c r="F13" s="29" t="s">
        <v>80</v>
      </c>
      <c r="G13" s="29"/>
      <c r="H13" s="29"/>
    </row>
    <row r="14" spans="1:11" x14ac:dyDescent="0.25">
      <c r="A14" s="78"/>
      <c r="B14" s="78"/>
      <c r="C14" s="44" t="s">
        <v>51</v>
      </c>
      <c r="D14" s="42">
        <f>'Задания 1-6'!C6-'Задание 7'!D13*'Задания 1-6'!C7</f>
        <v>5625.3231954542243</v>
      </c>
      <c r="F14" s="79" t="s">
        <v>84</v>
      </c>
      <c r="G14" s="79"/>
      <c r="H14" s="79"/>
    </row>
    <row r="16" spans="1:11" ht="15" customHeight="1" x14ac:dyDescent="0.25">
      <c r="B16" s="30"/>
    </row>
    <row r="17" spans="1:4" x14ac:dyDescent="0.25">
      <c r="A17" s="78" t="s">
        <v>79</v>
      </c>
      <c r="B17" s="78"/>
    </row>
    <row r="18" spans="1:4" x14ac:dyDescent="0.25">
      <c r="A18" s="78"/>
      <c r="B18" s="78"/>
    </row>
    <row r="21" spans="1:4" x14ac:dyDescent="0.25">
      <c r="A21" s="39" t="s">
        <v>48</v>
      </c>
      <c r="B21" s="39" t="s">
        <v>81</v>
      </c>
      <c r="C21" s="39" t="s">
        <v>82</v>
      </c>
    </row>
    <row r="22" spans="1:4" x14ac:dyDescent="0.25">
      <c r="A22" s="40">
        <v>1</v>
      </c>
      <c r="B22" s="45">
        <f>(D3-'Задания 1-6'!$C$6)^2</f>
        <v>8482363.5352107622</v>
      </c>
      <c r="C22" s="45">
        <f>(B3-'Задания 1-6'!$C$6)^2</f>
        <v>8433841.9849493913</v>
      </c>
    </row>
    <row r="23" spans="1:4" x14ac:dyDescent="0.25">
      <c r="A23" s="40">
        <v>2</v>
      </c>
      <c r="B23" s="45">
        <f>(D4-'Задания 1-6'!$C$6)^2</f>
        <v>4491543.9889092874</v>
      </c>
      <c r="C23" s="45">
        <f>(B4-'Задания 1-6'!$C$6)^2</f>
        <v>4552708.8809493901</v>
      </c>
    </row>
    <row r="24" spans="1:4" x14ac:dyDescent="0.25">
      <c r="A24" s="40">
        <v>3</v>
      </c>
      <c r="B24" s="45">
        <f>(D5-'Задания 1-6'!$C$6)^2</f>
        <v>3577120.3723179097</v>
      </c>
      <c r="C24" s="45">
        <f>(B5-'Задания 1-6'!$C$6)^2</f>
        <v>2873458.182993833</v>
      </c>
    </row>
    <row r="25" spans="1:4" x14ac:dyDescent="0.25">
      <c r="A25" s="40">
        <v>4</v>
      </c>
      <c r="B25" s="45">
        <f>(D6-'Задания 1-6'!$C$6)^2</f>
        <v>474687.81818985718</v>
      </c>
      <c r="C25" s="45">
        <f>(B6-'Задания 1-6'!$C$6)^2</f>
        <v>509335.97049383126</v>
      </c>
    </row>
    <row r="26" spans="1:4" x14ac:dyDescent="0.25">
      <c r="A26" s="40">
        <v>5</v>
      </c>
      <c r="B26" s="45">
        <f>(D7-'Задания 1-6'!$C$6)^2</f>
        <v>292310.77254995686</v>
      </c>
      <c r="C26" s="45">
        <f>(B7-'Задания 1-6'!$C$6)^2</f>
        <v>21360.472060492968</v>
      </c>
    </row>
    <row r="27" spans="1:4" x14ac:dyDescent="0.25">
      <c r="A27" s="40">
        <v>6</v>
      </c>
      <c r="B27" s="45">
        <f>(D8-'Задания 1-6'!$C$6)^2</f>
        <v>2366660.1630989993</v>
      </c>
      <c r="C27" s="45">
        <f>(B8-'Задания 1-6'!$C$6)^2</f>
        <v>921297.09156049264</v>
      </c>
    </row>
    <row r="28" spans="1:4" x14ac:dyDescent="0.25">
      <c r="A28" s="40">
        <v>7</v>
      </c>
      <c r="B28" s="45">
        <f>(D9-'Задания 1-6'!$C$6)^2</f>
        <v>3717710.6336507825</v>
      </c>
      <c r="C28" s="45">
        <f>(B9-'Задания 1-6'!$C$6)^2</f>
        <v>3016030.4074382628</v>
      </c>
    </row>
    <row r="29" spans="1:4" x14ac:dyDescent="0.25">
      <c r="A29" s="40">
        <v>8</v>
      </c>
      <c r="B29" s="45">
        <f>(D10-'Задания 1-6'!$C$6)^2</f>
        <v>3106394.0508908797</v>
      </c>
      <c r="C29" s="45">
        <f>(B10-'Задания 1-6'!$C$6)^2</f>
        <v>4065998.9068160476</v>
      </c>
    </row>
    <row r="30" spans="1:4" x14ac:dyDescent="0.25">
      <c r="A30" s="40">
        <v>9</v>
      </c>
      <c r="B30" s="45">
        <f>(D11-'Задания 1-6'!$C$6)^2</f>
        <v>3394413.7918817857</v>
      </c>
      <c r="C30" s="45">
        <f>(B11-'Задания 1-6'!$C$6)^2</f>
        <v>6695271.2504938068</v>
      </c>
    </row>
    <row r="31" spans="1:4" x14ac:dyDescent="0.25">
      <c r="A31" s="46" t="s">
        <v>8</v>
      </c>
      <c r="B31" s="47">
        <f>SUM(B22:B30)</f>
        <v>29903205.126700222</v>
      </c>
      <c r="C31" s="47">
        <f>SUM(C22:C30)</f>
        <v>31089303.147755545</v>
      </c>
    </row>
    <row r="32" spans="1:4" x14ac:dyDescent="0.25">
      <c r="A32" s="80" t="s">
        <v>83</v>
      </c>
      <c r="B32" s="80"/>
      <c r="C32" s="80"/>
      <c r="D32" s="48">
        <f>B31/C31</f>
        <v>0.96184867780991257</v>
      </c>
    </row>
    <row r="33" spans="1:10" x14ac:dyDescent="0.25">
      <c r="A33" s="31" t="s">
        <v>85</v>
      </c>
      <c r="B33" s="31"/>
      <c r="C33" s="31"/>
      <c r="D33" s="31"/>
      <c r="E33" s="31"/>
      <c r="F33" s="31"/>
      <c r="G33" s="31"/>
      <c r="H33" s="31"/>
      <c r="I33" s="31"/>
      <c r="J33" s="31"/>
    </row>
    <row r="35" spans="1:10" x14ac:dyDescent="0.25">
      <c r="A35" s="76" t="s">
        <v>86</v>
      </c>
      <c r="B35" s="76"/>
      <c r="C35" s="76"/>
      <c r="D35" s="76"/>
      <c r="E35" s="76"/>
      <c r="F35" s="76"/>
      <c r="G35" s="76"/>
    </row>
    <row r="36" spans="1:10" x14ac:dyDescent="0.25">
      <c r="A36" s="41" t="s">
        <v>87</v>
      </c>
      <c r="B36" s="41" t="s">
        <v>88</v>
      </c>
    </row>
    <row r="40" spans="1:10" x14ac:dyDescent="0.25">
      <c r="A40" s="49" t="s">
        <v>89</v>
      </c>
      <c r="B40" s="50">
        <f>D32/(1-D32)*(9-1-1)/1</f>
        <v>176.47987954710405</v>
      </c>
      <c r="D40" s="26" t="s">
        <v>90</v>
      </c>
    </row>
    <row r="41" spans="1:10" x14ac:dyDescent="0.25">
      <c r="A41" s="26" t="s">
        <v>92</v>
      </c>
    </row>
    <row r="43" spans="1:10" x14ac:dyDescent="0.25">
      <c r="A43" s="76" t="s">
        <v>91</v>
      </c>
      <c r="B43" s="76"/>
      <c r="C43" s="76"/>
      <c r="D43" s="76"/>
      <c r="E43" s="76"/>
      <c r="F43" s="76"/>
      <c r="G43" s="76"/>
    </row>
    <row r="44" spans="1:10" x14ac:dyDescent="0.25">
      <c r="A44" s="41" t="s">
        <v>87</v>
      </c>
      <c r="B44" s="41" t="s">
        <v>93</v>
      </c>
    </row>
    <row r="49" spans="1:7" x14ac:dyDescent="0.25">
      <c r="A49" s="26" t="s">
        <v>94</v>
      </c>
    </row>
    <row r="50" spans="1:7" x14ac:dyDescent="0.25">
      <c r="A50" s="39" t="s">
        <v>48</v>
      </c>
      <c r="B50" s="39" t="s">
        <v>95</v>
      </c>
    </row>
    <row r="51" spans="1:7" x14ac:dyDescent="0.25">
      <c r="A51" s="40">
        <v>1</v>
      </c>
      <c r="B51" s="45">
        <f>(B3-D3)^2</f>
        <v>69.588468865430272</v>
      </c>
    </row>
    <row r="52" spans="1:7" x14ac:dyDescent="0.25">
      <c r="A52" s="40">
        <v>2</v>
      </c>
      <c r="B52" s="45">
        <f t="shared" ref="B52:B59" si="1">(B4-D4)^2</f>
        <v>206.82674674259979</v>
      </c>
    </row>
    <row r="53" spans="1:7" x14ac:dyDescent="0.25">
      <c r="A53" s="40">
        <v>3</v>
      </c>
      <c r="B53" s="45">
        <f t="shared" si="1"/>
        <v>38494.399472599522</v>
      </c>
    </row>
    <row r="54" spans="1:7" x14ac:dyDescent="0.25">
      <c r="A54" s="40">
        <v>4</v>
      </c>
      <c r="B54" s="45">
        <f t="shared" si="1"/>
        <v>610.18178305126582</v>
      </c>
    </row>
    <row r="55" spans="1:7" x14ac:dyDescent="0.25">
      <c r="A55" s="40">
        <v>5</v>
      </c>
      <c r="B55" s="45">
        <f t="shared" si="1"/>
        <v>155634.58949481574</v>
      </c>
    </row>
    <row r="56" spans="1:7" x14ac:dyDescent="0.25">
      <c r="A56" s="40">
        <v>6</v>
      </c>
      <c r="B56" s="45">
        <f t="shared" si="1"/>
        <v>334723.6878888653</v>
      </c>
    </row>
    <row r="57" spans="1:7" x14ac:dyDescent="0.25">
      <c r="A57" s="40">
        <v>7</v>
      </c>
      <c r="B57" s="45">
        <f t="shared" si="1"/>
        <v>36658.596577157179</v>
      </c>
    </row>
    <row r="58" spans="1:7" x14ac:dyDescent="0.25">
      <c r="A58" s="40">
        <v>8</v>
      </c>
      <c r="B58" s="45">
        <f t="shared" si="1"/>
        <v>64483.331083304962</v>
      </c>
    </row>
    <row r="59" spans="1:7" x14ac:dyDescent="0.25">
      <c r="A59" s="40">
        <v>9</v>
      </c>
      <c r="B59" s="45">
        <f t="shared" si="1"/>
        <v>555216.8195399238</v>
      </c>
    </row>
    <row r="60" spans="1:7" x14ac:dyDescent="0.25">
      <c r="A60" s="46" t="s">
        <v>8</v>
      </c>
      <c r="B60" s="47">
        <f>SUM(B51:B59)</f>
        <v>1186098.0210553259</v>
      </c>
    </row>
    <row r="61" spans="1:7" x14ac:dyDescent="0.25">
      <c r="A61" s="41" t="s">
        <v>96</v>
      </c>
      <c r="B61" s="41"/>
      <c r="C61" s="41"/>
      <c r="D61" s="41">
        <f>B60/(9-2)</f>
        <v>169442.57443647512</v>
      </c>
    </row>
    <row r="62" spans="1:7" x14ac:dyDescent="0.25">
      <c r="A62" s="41" t="s">
        <v>101</v>
      </c>
      <c r="B62" s="41"/>
      <c r="C62" s="51"/>
      <c r="D62" s="52">
        <f>SQRT(D61)/'Задания 1-6'!C29/SQRT(9)</f>
        <v>14.668941551143702</v>
      </c>
      <c r="F62" s="32">
        <f>D62^2</f>
        <v>215.17784623087019</v>
      </c>
      <c r="G62" s="26">
        <f>SQRT(B40)</f>
        <v>13.284572990770311</v>
      </c>
    </row>
    <row r="63" spans="1:7" x14ac:dyDescent="0.25">
      <c r="C63" s="53" t="s">
        <v>97</v>
      </c>
      <c r="D63" s="50">
        <f>D13/D62</f>
        <v>13.284572990770286</v>
      </c>
      <c r="E63" s="26" t="s">
        <v>99</v>
      </c>
    </row>
    <row r="64" spans="1:7" x14ac:dyDescent="0.25">
      <c r="C64" s="26" t="s">
        <v>153</v>
      </c>
    </row>
    <row r="66" spans="1:8" x14ac:dyDescent="0.25">
      <c r="A66" s="76" t="s">
        <v>100</v>
      </c>
      <c r="B66" s="76"/>
      <c r="C66" s="76"/>
      <c r="D66" s="76"/>
      <c r="E66" s="76"/>
      <c r="F66" s="76"/>
      <c r="G66" s="76"/>
      <c r="H66" s="76"/>
    </row>
    <row r="69" spans="1:8" x14ac:dyDescent="0.25">
      <c r="A69" s="41" t="s">
        <v>102</v>
      </c>
      <c r="B69" s="41">
        <v>2.3645999999999998</v>
      </c>
    </row>
    <row r="70" spans="1:8" x14ac:dyDescent="0.25">
      <c r="A70" s="46" t="s">
        <v>98</v>
      </c>
      <c r="B70" s="54">
        <f>D62</f>
        <v>14.668941551143702</v>
      </c>
    </row>
    <row r="71" spans="1:8" x14ac:dyDescent="0.25">
      <c r="A71" s="41" t="s">
        <v>103</v>
      </c>
      <c r="B71" s="41"/>
      <c r="C71" s="55">
        <f>D13-B69*B70</f>
        <v>160.18444554167721</v>
      </c>
    </row>
    <row r="72" spans="1:8" x14ac:dyDescent="0.25">
      <c r="A72" s="41" t="s">
        <v>104</v>
      </c>
      <c r="B72" s="41"/>
      <c r="C72" s="55">
        <f>D13+B69*B70</f>
        <v>229.55680392534597</v>
      </c>
    </row>
    <row r="73" spans="1:8" x14ac:dyDescent="0.25">
      <c r="A73" s="80" t="s">
        <v>105</v>
      </c>
      <c r="B73" s="80"/>
      <c r="C73" s="80"/>
    </row>
    <row r="75" spans="1:8" x14ac:dyDescent="0.25">
      <c r="A75" s="76" t="s">
        <v>106</v>
      </c>
      <c r="B75" s="76"/>
      <c r="C75" s="76"/>
      <c r="D75" s="76"/>
    </row>
    <row r="81" spans="1:3" x14ac:dyDescent="0.25">
      <c r="A81" s="41" t="s">
        <v>87</v>
      </c>
      <c r="B81" s="41" t="s">
        <v>110</v>
      </c>
    </row>
    <row r="82" spans="1:3" x14ac:dyDescent="0.25">
      <c r="A82" s="41" t="s">
        <v>107</v>
      </c>
      <c r="B82" s="56">
        <f>'Задания 1-6'!F53</f>
        <v>0.98073884281694113</v>
      </c>
    </row>
    <row r="83" spans="1:3" x14ac:dyDescent="0.25">
      <c r="A83" s="41" t="s">
        <v>108</v>
      </c>
      <c r="B83" s="56">
        <f>SQRT((1-B82*B82)/(9-2))</f>
        <v>7.3825394575973466E-2</v>
      </c>
    </row>
    <row r="84" spans="1:3" x14ac:dyDescent="0.25">
      <c r="A84" s="57" t="s">
        <v>109</v>
      </c>
      <c r="B84" s="58">
        <f>B82/B83</f>
        <v>13.284572990770352</v>
      </c>
      <c r="C84" s="26" t="s">
        <v>99</v>
      </c>
    </row>
    <row r="85" spans="1:3" x14ac:dyDescent="0.25">
      <c r="C85" s="26" t="s">
        <v>163</v>
      </c>
    </row>
    <row r="87" spans="1:3" x14ac:dyDescent="0.25">
      <c r="A87" s="26" t="s">
        <v>111</v>
      </c>
    </row>
    <row r="88" spans="1:3" x14ac:dyDescent="0.25">
      <c r="A88" s="26" t="s">
        <v>53</v>
      </c>
    </row>
    <row r="89" spans="1:3" ht="15.75" thickBot="1" x14ac:dyDescent="0.3"/>
    <row r="90" spans="1:3" x14ac:dyDescent="0.25">
      <c r="A90" s="33" t="s">
        <v>54</v>
      </c>
      <c r="B90" s="33"/>
    </row>
    <row r="91" spans="1:3" x14ac:dyDescent="0.25">
      <c r="A91" s="34" t="s">
        <v>55</v>
      </c>
      <c r="B91" s="34">
        <v>0.98073884281694101</v>
      </c>
    </row>
    <row r="92" spans="1:3" x14ac:dyDescent="0.25">
      <c r="A92" s="34" t="s">
        <v>56</v>
      </c>
      <c r="B92" s="35">
        <v>0.96184867780991257</v>
      </c>
      <c r="C92" s="31" t="s">
        <v>115</v>
      </c>
    </row>
    <row r="93" spans="1:3" x14ac:dyDescent="0.25">
      <c r="A93" s="34" t="s">
        <v>57</v>
      </c>
      <c r="B93" s="34">
        <v>0.95639848892561441</v>
      </c>
    </row>
    <row r="94" spans="1:3" x14ac:dyDescent="0.25">
      <c r="A94" s="34" t="s">
        <v>58</v>
      </c>
      <c r="B94" s="34">
        <v>411.63402973572823</v>
      </c>
    </row>
    <row r="95" spans="1:3" ht="15.75" thickBot="1" x14ac:dyDescent="0.3">
      <c r="A95" s="36" t="s">
        <v>59</v>
      </c>
      <c r="B95" s="36">
        <v>9</v>
      </c>
    </row>
    <row r="97" spans="1:9" ht="15.75" thickBot="1" x14ac:dyDescent="0.3">
      <c r="A97" s="26" t="s">
        <v>60</v>
      </c>
      <c r="E97" s="31" t="s">
        <v>115</v>
      </c>
    </row>
    <row r="98" spans="1:9" x14ac:dyDescent="0.25">
      <c r="A98" s="37"/>
      <c r="B98" s="37" t="s">
        <v>65</v>
      </c>
      <c r="C98" s="37" t="s">
        <v>66</v>
      </c>
      <c r="D98" s="37" t="s">
        <v>67</v>
      </c>
      <c r="E98" s="37" t="s">
        <v>68</v>
      </c>
      <c r="F98" s="37" t="s">
        <v>69</v>
      </c>
    </row>
    <row r="99" spans="1:9" x14ac:dyDescent="0.25">
      <c r="A99" s="34" t="s">
        <v>61</v>
      </c>
      <c r="B99" s="34">
        <v>1</v>
      </c>
      <c r="C99" s="34">
        <v>29903205.126700222</v>
      </c>
      <c r="D99" s="34">
        <v>29903205.126700222</v>
      </c>
      <c r="E99" s="35">
        <v>176.47987954710408</v>
      </c>
      <c r="F99" s="34">
        <v>3.2045312091603616E-6</v>
      </c>
    </row>
    <row r="100" spans="1:9" x14ac:dyDescent="0.25">
      <c r="A100" s="34" t="s">
        <v>62</v>
      </c>
      <c r="B100" s="34">
        <v>7</v>
      </c>
      <c r="C100" s="34">
        <v>1186098.021055321</v>
      </c>
      <c r="D100" s="34">
        <v>169442.57443647442</v>
      </c>
      <c r="E100" s="34"/>
      <c r="F100" s="34"/>
    </row>
    <row r="101" spans="1:9" ht="15.75" thickBot="1" x14ac:dyDescent="0.3">
      <c r="A101" s="36" t="s">
        <v>63</v>
      </c>
      <c r="B101" s="36">
        <v>8</v>
      </c>
      <c r="C101" s="36">
        <v>31089303.147755545</v>
      </c>
      <c r="D101" s="36"/>
      <c r="E101" s="36"/>
      <c r="F101" s="36"/>
    </row>
    <row r="102" spans="1:9" ht="15.75" thickBot="1" x14ac:dyDescent="0.3"/>
    <row r="103" spans="1:9" x14ac:dyDescent="0.25">
      <c r="A103" s="37"/>
      <c r="B103" s="37" t="s">
        <v>50</v>
      </c>
      <c r="C103" s="37" t="s">
        <v>58</v>
      </c>
      <c r="D103" s="37" t="s">
        <v>70</v>
      </c>
      <c r="E103" s="37" t="s">
        <v>71</v>
      </c>
      <c r="F103" s="37" t="s">
        <v>72</v>
      </c>
      <c r="G103" s="37" t="s">
        <v>73</v>
      </c>
      <c r="H103" s="37" t="s">
        <v>74</v>
      </c>
      <c r="I103" s="37" t="s">
        <v>75</v>
      </c>
    </row>
    <row r="104" spans="1:9" x14ac:dyDescent="0.25">
      <c r="A104" s="34" t="s">
        <v>64</v>
      </c>
      <c r="B104" s="35">
        <v>5625.3231954542243</v>
      </c>
      <c r="C104" s="34">
        <v>756.20267484377246</v>
      </c>
      <c r="D104" s="34">
        <v>7.4389094122371189</v>
      </c>
      <c r="E104" s="34">
        <v>1.4456952760076431E-4</v>
      </c>
      <c r="F104" s="34">
        <v>3837.1880113993066</v>
      </c>
      <c r="G104" s="34">
        <v>7413.4583795091421</v>
      </c>
      <c r="H104" s="34">
        <v>3837.1880113993066</v>
      </c>
      <c r="I104" s="34">
        <v>7413.4583795091421</v>
      </c>
    </row>
    <row r="105" spans="1:9" ht="15.75" thickBot="1" x14ac:dyDescent="0.3">
      <c r="A105" s="36" t="s">
        <v>76</v>
      </c>
      <c r="B105" s="38">
        <v>194.87062473351159</v>
      </c>
      <c r="C105" s="36">
        <v>14.668941551143671</v>
      </c>
      <c r="D105" s="38">
        <v>13.284572990770313</v>
      </c>
      <c r="E105" s="36">
        <v>3.2045312091603616E-6</v>
      </c>
      <c r="F105" s="36">
        <v>160.18408979648018</v>
      </c>
      <c r="G105" s="36">
        <v>229.557159670543</v>
      </c>
      <c r="H105" s="38">
        <v>160.18408979648018</v>
      </c>
      <c r="I105" s="38">
        <v>229.557159670543</v>
      </c>
    </row>
    <row r="106" spans="1:9" x14ac:dyDescent="0.25">
      <c r="B106" s="31" t="s">
        <v>115</v>
      </c>
      <c r="D106" s="31" t="s">
        <v>115</v>
      </c>
      <c r="H106" s="31" t="s">
        <v>115</v>
      </c>
    </row>
    <row r="109" spans="1:9" x14ac:dyDescent="0.25">
      <c r="A109" s="26" t="s">
        <v>112</v>
      </c>
    </row>
    <row r="110" spans="1:9" ht="15.75" thickBot="1" x14ac:dyDescent="0.3"/>
    <row r="111" spans="1:9" x14ac:dyDescent="0.25">
      <c r="A111" s="37" t="s">
        <v>24</v>
      </c>
      <c r="B111" s="37" t="s">
        <v>113</v>
      </c>
      <c r="C111" s="37" t="s">
        <v>114</v>
      </c>
    </row>
    <row r="112" spans="1:9" x14ac:dyDescent="0.25">
      <c r="A112" s="34">
        <v>1</v>
      </c>
      <c r="B112" s="34">
        <v>12591.948029677264</v>
      </c>
      <c r="C112" s="34">
        <v>8.3419703227373248</v>
      </c>
    </row>
    <row r="113" spans="1:3" x14ac:dyDescent="0.25">
      <c r="A113" s="34">
        <v>2</v>
      </c>
      <c r="B113" s="34">
        <v>13385.071472342657</v>
      </c>
      <c r="C113" s="34">
        <v>-14.381472342656707</v>
      </c>
    </row>
    <row r="114" spans="1:3" x14ac:dyDescent="0.25">
      <c r="A114" s="34">
        <v>3</v>
      </c>
      <c r="B114" s="34">
        <v>13613.070103280865</v>
      </c>
      <c r="C114" s="34">
        <v>196.19989671913572</v>
      </c>
    </row>
    <row r="115" spans="1:3" x14ac:dyDescent="0.25">
      <c r="A115" s="34">
        <v>4</v>
      </c>
      <c r="B115" s="34">
        <v>14815.421857886629</v>
      </c>
      <c r="C115" s="34">
        <v>-24.701857886630023</v>
      </c>
    </row>
    <row r="116" spans="1:3" x14ac:dyDescent="0.25">
      <c r="A116" s="34">
        <v>5</v>
      </c>
      <c r="B116" s="34">
        <v>16045.05549995509</v>
      </c>
      <c r="C116" s="34">
        <v>-394.50549995509027</v>
      </c>
    </row>
    <row r="117" spans="1:3" x14ac:dyDescent="0.25">
      <c r="A117" s="34">
        <v>6</v>
      </c>
      <c r="B117" s="34">
        <v>17042.793098590671</v>
      </c>
      <c r="C117" s="34">
        <v>-578.55309859066983</v>
      </c>
    </row>
    <row r="118" spans="1:3" x14ac:dyDescent="0.25">
      <c r="A118" s="34">
        <v>7</v>
      </c>
      <c r="B118" s="34">
        <v>17432.534348057692</v>
      </c>
      <c r="C118" s="34">
        <v>-191.4643480576924</v>
      </c>
    </row>
    <row r="119" spans="1:3" x14ac:dyDescent="0.25">
      <c r="A119" s="34">
        <v>8</v>
      </c>
      <c r="B119" s="34">
        <v>17266.894317034206</v>
      </c>
      <c r="C119" s="34">
        <v>253.93568296579542</v>
      </c>
    </row>
    <row r="120" spans="1:3" ht="15.75" thickBot="1" x14ac:dyDescent="0.3">
      <c r="A120" s="36">
        <v>9</v>
      </c>
      <c r="B120" s="36">
        <v>17346.791273174946</v>
      </c>
      <c r="C120" s="36">
        <v>745.12872682505258</v>
      </c>
    </row>
  </sheetData>
  <mergeCells count="10">
    <mergeCell ref="A75:D75"/>
    <mergeCell ref="A1:K1"/>
    <mergeCell ref="A13:B14"/>
    <mergeCell ref="F14:H14"/>
    <mergeCell ref="A17:B18"/>
    <mergeCell ref="A32:C32"/>
    <mergeCell ref="A35:G35"/>
    <mergeCell ref="A43:G43"/>
    <mergeCell ref="A66:H66"/>
    <mergeCell ref="A73:C7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0"/>
  <sheetViews>
    <sheetView workbookViewId="0">
      <selection activeCell="D87" sqref="D87"/>
    </sheetView>
  </sheetViews>
  <sheetFormatPr defaultRowHeight="15" x14ac:dyDescent="0.25"/>
  <cols>
    <col min="1" max="1" width="9.140625" style="26"/>
    <col min="2" max="2" width="13" style="26" customWidth="1"/>
    <col min="3" max="3" width="12.7109375" style="26" customWidth="1"/>
    <col min="4" max="7" width="9.140625" style="26"/>
    <col min="8" max="8" width="13.85546875" style="26" customWidth="1"/>
    <col min="9" max="16384" width="9.140625" style="26"/>
  </cols>
  <sheetData>
    <row r="1" spans="1:11" x14ac:dyDescent="0.25">
      <c r="A1" s="77" t="s">
        <v>124</v>
      </c>
      <c r="B1" s="77"/>
      <c r="C1" s="77"/>
      <c r="D1" s="77"/>
      <c r="E1" s="77"/>
      <c r="F1" s="77"/>
      <c r="G1" s="77"/>
      <c r="H1" s="77"/>
      <c r="I1" s="77"/>
      <c r="J1" s="77"/>
      <c r="K1" s="77"/>
    </row>
    <row r="2" spans="1:11" x14ac:dyDescent="0.25">
      <c r="A2" s="39" t="s">
        <v>48</v>
      </c>
      <c r="B2" s="39" t="s">
        <v>5</v>
      </c>
      <c r="C2" s="39" t="s">
        <v>116</v>
      </c>
      <c r="D2" s="39" t="s">
        <v>77</v>
      </c>
    </row>
    <row r="3" spans="1:11" x14ac:dyDescent="0.25">
      <c r="A3" s="40">
        <v>1</v>
      </c>
      <c r="B3" s="40">
        <v>12600.29</v>
      </c>
      <c r="C3" s="40">
        <v>15.02</v>
      </c>
      <c r="D3" s="41">
        <f>$D$14+$D$13*C3</f>
        <v>13064.230829661554</v>
      </c>
    </row>
    <row r="4" spans="1:11" x14ac:dyDescent="0.25">
      <c r="A4" s="40">
        <v>2</v>
      </c>
      <c r="B4" s="40">
        <v>13370.69</v>
      </c>
      <c r="C4" s="40">
        <v>16.350000000000001</v>
      </c>
      <c r="D4" s="41">
        <f t="shared" ref="D4:D11" si="0">$D$14+$D$13*C4</f>
        <v>13792.085261980299</v>
      </c>
    </row>
    <row r="5" spans="1:11" x14ac:dyDescent="0.25">
      <c r="A5" s="40">
        <v>3</v>
      </c>
      <c r="B5" s="40">
        <v>13809.27</v>
      </c>
      <c r="C5" s="40">
        <v>16.600000000000001</v>
      </c>
      <c r="D5" s="41">
        <f t="shared" si="0"/>
        <v>13928.900004897358</v>
      </c>
    </row>
    <row r="6" spans="1:11" x14ac:dyDescent="0.25">
      <c r="A6" s="40">
        <v>4</v>
      </c>
      <c r="B6" s="40">
        <v>14790.72</v>
      </c>
      <c r="C6" s="40">
        <v>18.010000000000002</v>
      </c>
      <c r="D6" s="41">
        <f t="shared" si="0"/>
        <v>14700.535154949561</v>
      </c>
    </row>
    <row r="7" spans="1:11" x14ac:dyDescent="0.25">
      <c r="A7" s="40">
        <v>5</v>
      </c>
      <c r="B7" s="40">
        <v>15650.55</v>
      </c>
      <c r="C7" s="40">
        <v>21.83</v>
      </c>
      <c r="D7" s="41">
        <f t="shared" si="0"/>
        <v>16791.064426722194</v>
      </c>
    </row>
    <row r="8" spans="1:11" x14ac:dyDescent="0.25">
      <c r="A8" s="40">
        <v>6</v>
      </c>
      <c r="B8" s="40">
        <v>16464.240000000002</v>
      </c>
      <c r="C8" s="40">
        <v>23.58</v>
      </c>
      <c r="D8" s="41">
        <f t="shared" si="0"/>
        <v>17748.767627141595</v>
      </c>
    </row>
    <row r="9" spans="1:11" x14ac:dyDescent="0.25">
      <c r="A9" s="40">
        <v>7</v>
      </c>
      <c r="B9" s="40">
        <v>17241.07</v>
      </c>
      <c r="C9" s="40">
        <v>22.47</v>
      </c>
      <c r="D9" s="41">
        <f t="shared" si="0"/>
        <v>17141.310168589858</v>
      </c>
    </row>
    <row r="10" spans="1:11" x14ac:dyDescent="0.25">
      <c r="A10" s="40">
        <v>8</v>
      </c>
      <c r="B10" s="40">
        <v>17520.830000000002</v>
      </c>
      <c r="C10" s="40">
        <v>20.23</v>
      </c>
      <c r="D10" s="41">
        <f t="shared" si="0"/>
        <v>15915.450072053029</v>
      </c>
    </row>
    <row r="11" spans="1:11" x14ac:dyDescent="0.25">
      <c r="A11" s="40">
        <v>9</v>
      </c>
      <c r="B11" s="40">
        <v>18091.919999999998</v>
      </c>
      <c r="C11" s="40">
        <v>21.22</v>
      </c>
      <c r="D11" s="41">
        <f t="shared" si="0"/>
        <v>16457.236454004575</v>
      </c>
    </row>
    <row r="13" spans="1:11" x14ac:dyDescent="0.25">
      <c r="A13" s="78" t="s">
        <v>78</v>
      </c>
      <c r="B13" s="78"/>
      <c r="C13" s="42" t="s">
        <v>52</v>
      </c>
      <c r="D13" s="43">
        <f>'Задания 1-6'!M46/'Задания 1-6'!C13</f>
        <v>547.25897166822915</v>
      </c>
      <c r="F13" s="29" t="s">
        <v>118</v>
      </c>
      <c r="G13" s="29"/>
      <c r="H13" s="29"/>
    </row>
    <row r="14" spans="1:11" x14ac:dyDescent="0.25">
      <c r="A14" s="78"/>
      <c r="B14" s="78"/>
      <c r="C14" s="42" t="s">
        <v>51</v>
      </c>
      <c r="D14" s="42">
        <f>'Задания 1-6'!C6-D13*'Задания 1-6'!C8</f>
        <v>4844.4010752047525</v>
      </c>
      <c r="F14" s="79" t="s">
        <v>119</v>
      </c>
      <c r="G14" s="79"/>
      <c r="H14" s="79"/>
    </row>
    <row r="16" spans="1:11" ht="15" customHeight="1" x14ac:dyDescent="0.25">
      <c r="B16" s="30"/>
      <c r="K16" s="26" t="s">
        <v>122</v>
      </c>
    </row>
    <row r="17" spans="1:13" x14ac:dyDescent="0.25">
      <c r="A17" s="78" t="s">
        <v>79</v>
      </c>
      <c r="B17" s="78"/>
      <c r="K17" s="27" t="s">
        <v>5</v>
      </c>
      <c r="L17" s="27" t="s">
        <v>116</v>
      </c>
      <c r="M17" s="27" t="s">
        <v>77</v>
      </c>
    </row>
    <row r="18" spans="1:13" x14ac:dyDescent="0.25">
      <c r="A18" s="78"/>
      <c r="B18" s="78"/>
      <c r="K18" s="28">
        <v>12600.29</v>
      </c>
      <c r="L18" s="28">
        <v>15.02</v>
      </c>
      <c r="M18" s="26">
        <f>$D$14+$D$13*L18</f>
        <v>13064.230829661554</v>
      </c>
    </row>
    <row r="19" spans="1:13" x14ac:dyDescent="0.25">
      <c r="K19" s="28">
        <v>13370.69</v>
      </c>
      <c r="L19" s="28">
        <v>16.350000000000001</v>
      </c>
      <c r="M19" s="26">
        <f t="shared" ref="M19:M26" si="1">$D$14+$D$13*L19</f>
        <v>13792.085261980299</v>
      </c>
    </row>
    <row r="20" spans="1:13" x14ac:dyDescent="0.25">
      <c r="K20" s="28">
        <v>13809.27</v>
      </c>
      <c r="L20" s="28">
        <v>16.600000000000001</v>
      </c>
      <c r="M20" s="26">
        <f t="shared" si="1"/>
        <v>13928.900004897358</v>
      </c>
    </row>
    <row r="21" spans="1:13" x14ac:dyDescent="0.25">
      <c r="A21" s="39" t="s">
        <v>48</v>
      </c>
      <c r="B21" s="39" t="s">
        <v>81</v>
      </c>
      <c r="C21" s="39" t="s">
        <v>82</v>
      </c>
      <c r="K21" s="28">
        <v>14790.72</v>
      </c>
      <c r="L21" s="28">
        <v>18.010000000000002</v>
      </c>
      <c r="M21" s="26">
        <f t="shared" si="1"/>
        <v>14700.535154949561</v>
      </c>
    </row>
    <row r="22" spans="1:13" x14ac:dyDescent="0.25">
      <c r="A22" s="40">
        <v>1</v>
      </c>
      <c r="B22" s="45">
        <f>(D3-'Задания 1-6'!$C$6)^2</f>
        <v>5954414.734678857</v>
      </c>
      <c r="C22" s="45">
        <f>(B3-'Задания 1-6'!$C$6)^2</f>
        <v>8433841.9849493913</v>
      </c>
      <c r="K22" s="28">
        <v>17520.830000000002</v>
      </c>
      <c r="L22" s="28">
        <v>20.23</v>
      </c>
      <c r="M22" s="26">
        <f t="shared" si="1"/>
        <v>15915.450072053029</v>
      </c>
    </row>
    <row r="23" spans="1:13" x14ac:dyDescent="0.25">
      <c r="A23" s="40">
        <v>2</v>
      </c>
      <c r="B23" s="45">
        <f>(D4-'Задания 1-6'!$C$6)^2</f>
        <v>2932014.1517566983</v>
      </c>
      <c r="C23" s="45">
        <f>(B4-'Задания 1-6'!$C$6)^2</f>
        <v>4552708.8809493901</v>
      </c>
      <c r="K23" s="28">
        <v>18091.919999999998</v>
      </c>
      <c r="L23" s="28">
        <v>21.22</v>
      </c>
      <c r="M23" s="26">
        <f t="shared" si="1"/>
        <v>16457.236454004575</v>
      </c>
    </row>
    <row r="24" spans="1:13" x14ac:dyDescent="0.25">
      <c r="A24" s="40">
        <v>3</v>
      </c>
      <c r="B24" s="45">
        <f>(D5-'Задания 1-6'!$C$6)^2</f>
        <v>2482193.2323511713</v>
      </c>
      <c r="C24" s="45">
        <f>(B5-'Задания 1-6'!$C$6)^2</f>
        <v>2873458.182993833</v>
      </c>
      <c r="K24" s="28">
        <v>15650.55</v>
      </c>
      <c r="L24" s="28">
        <v>21.83</v>
      </c>
      <c r="M24" s="26">
        <f t="shared" si="1"/>
        <v>16791.064426722194</v>
      </c>
    </row>
    <row r="25" spans="1:13" x14ac:dyDescent="0.25">
      <c r="A25" s="40">
        <v>4</v>
      </c>
      <c r="B25" s="45">
        <f>(D6-'Задания 1-6'!$C$6)^2</f>
        <v>646195.1163802637</v>
      </c>
      <c r="C25" s="45">
        <f>(B6-'Задания 1-6'!$C$6)^2</f>
        <v>509335.97049383126</v>
      </c>
      <c r="K25" s="28">
        <v>17241.07</v>
      </c>
      <c r="L25" s="28">
        <v>22.47</v>
      </c>
      <c r="M25" s="26">
        <f t="shared" si="1"/>
        <v>17141.310168589858</v>
      </c>
    </row>
    <row r="26" spans="1:13" x14ac:dyDescent="0.25">
      <c r="A26" s="40">
        <v>5</v>
      </c>
      <c r="B26" s="45">
        <f>(D7-'Задания 1-6'!$C$6)^2</f>
        <v>1655511.0655058485</v>
      </c>
      <c r="C26" s="45">
        <f>(B7-'Задания 1-6'!$C$6)^2</f>
        <v>21360.472060492968</v>
      </c>
      <c r="K26" s="28">
        <v>16464.240000000002</v>
      </c>
      <c r="L26" s="28">
        <v>23.58</v>
      </c>
      <c r="M26" s="26">
        <f t="shared" si="1"/>
        <v>17748.767627141595</v>
      </c>
    </row>
    <row r="27" spans="1:13" x14ac:dyDescent="0.25">
      <c r="A27" s="40">
        <v>6</v>
      </c>
      <c r="B27" s="45">
        <f>(D8-'Задания 1-6'!$C$6)^2</f>
        <v>5037196.0207333528</v>
      </c>
      <c r="C27" s="45">
        <f>(B8-'Задания 1-6'!$C$6)^2</f>
        <v>921297.09156049264</v>
      </c>
    </row>
    <row r="28" spans="1:13" x14ac:dyDescent="0.25">
      <c r="A28" s="40">
        <v>7</v>
      </c>
      <c r="B28" s="45">
        <f>(D9-'Задания 1-6'!$C$6)^2</f>
        <v>2679482.175194114</v>
      </c>
      <c r="C28" s="45">
        <f>(B9-'Задания 1-6'!$C$6)^2</f>
        <v>3016030.4074382628</v>
      </c>
    </row>
    <row r="29" spans="1:13" x14ac:dyDescent="0.25">
      <c r="A29" s="40">
        <v>8</v>
      </c>
      <c r="B29" s="45">
        <f>(D10-'Задания 1-6'!$C$6)^2</f>
        <v>168963.9886289456</v>
      </c>
      <c r="C29" s="45">
        <f>(B10-'Задания 1-6'!$C$6)^2</f>
        <v>4065998.9068160476</v>
      </c>
    </row>
    <row r="30" spans="1:13" x14ac:dyDescent="0.25">
      <c r="A30" s="40">
        <v>9</v>
      </c>
      <c r="B30" s="45">
        <f>(D11-'Задания 1-6'!$C$6)^2</f>
        <v>907901.54291363037</v>
      </c>
      <c r="C30" s="45">
        <f>(B11-'Задания 1-6'!$C$6)^2</f>
        <v>6695271.2504938068</v>
      </c>
    </row>
    <row r="31" spans="1:13" x14ac:dyDescent="0.25">
      <c r="A31" s="46" t="s">
        <v>8</v>
      </c>
      <c r="B31" s="47">
        <f>SUM(B22:B30)</f>
        <v>22463872.028142884</v>
      </c>
      <c r="C31" s="47">
        <f>SUM(C22:C30)</f>
        <v>31089303.147755545</v>
      </c>
    </row>
    <row r="32" spans="1:13" x14ac:dyDescent="0.25">
      <c r="A32" s="80" t="s">
        <v>83</v>
      </c>
      <c r="B32" s="80"/>
      <c r="C32" s="80"/>
      <c r="D32" s="48">
        <f>B31/C31</f>
        <v>0.72255952220545794</v>
      </c>
    </row>
    <row r="33" spans="1:10" x14ac:dyDescent="0.25">
      <c r="A33" s="31" t="s">
        <v>120</v>
      </c>
      <c r="B33" s="31"/>
      <c r="C33" s="31"/>
      <c r="D33" s="31"/>
      <c r="E33" s="31"/>
      <c r="F33" s="31"/>
      <c r="G33" s="31"/>
      <c r="H33" s="31"/>
      <c r="I33" s="31"/>
      <c r="J33" s="31"/>
    </row>
    <row r="35" spans="1:10" x14ac:dyDescent="0.25">
      <c r="A35" s="76" t="s">
        <v>86</v>
      </c>
      <c r="B35" s="76"/>
      <c r="C35" s="76"/>
      <c r="D35" s="76"/>
      <c r="E35" s="76"/>
      <c r="F35" s="76"/>
      <c r="G35" s="76"/>
    </row>
    <row r="36" spans="1:10" x14ac:dyDescent="0.25">
      <c r="A36" s="41" t="s">
        <v>87</v>
      </c>
      <c r="B36" s="41" t="s">
        <v>88</v>
      </c>
    </row>
    <row r="40" spans="1:10" x14ac:dyDescent="0.25">
      <c r="A40" s="49" t="s">
        <v>89</v>
      </c>
      <c r="B40" s="50">
        <f>D32/(1-D32)*(9-1-1)/1</f>
        <v>18.230637056442191</v>
      </c>
      <c r="D40" s="26" t="s">
        <v>90</v>
      </c>
    </row>
    <row r="41" spans="1:10" x14ac:dyDescent="0.25">
      <c r="A41" s="26" t="s">
        <v>121</v>
      </c>
    </row>
    <row r="43" spans="1:10" x14ac:dyDescent="0.25">
      <c r="A43" s="76" t="s">
        <v>91</v>
      </c>
      <c r="B43" s="76"/>
      <c r="C43" s="76"/>
      <c r="D43" s="76"/>
      <c r="E43" s="76"/>
      <c r="F43" s="76"/>
      <c r="G43" s="76"/>
    </row>
    <row r="44" spans="1:10" x14ac:dyDescent="0.25">
      <c r="A44" s="41" t="s">
        <v>87</v>
      </c>
      <c r="B44" s="41" t="s">
        <v>93</v>
      </c>
    </row>
    <row r="49" spans="1:7" x14ac:dyDescent="0.25">
      <c r="A49" s="26" t="s">
        <v>94</v>
      </c>
    </row>
    <row r="50" spans="1:7" x14ac:dyDescent="0.25">
      <c r="A50" s="39" t="s">
        <v>48</v>
      </c>
      <c r="B50" s="39" t="s">
        <v>95</v>
      </c>
    </row>
    <row r="51" spans="1:7" x14ac:dyDescent="0.25">
      <c r="A51" s="40">
        <v>1</v>
      </c>
      <c r="B51" s="45">
        <f>(B3-D3)^2</f>
        <v>215241.09342705007</v>
      </c>
    </row>
    <row r="52" spans="1:7" x14ac:dyDescent="0.25">
      <c r="A52" s="40">
        <v>2</v>
      </c>
      <c r="B52" s="45">
        <f t="shared" ref="B52:B59" si="2">(B4-D4)^2</f>
        <v>177573.96681944444</v>
      </c>
    </row>
    <row r="53" spans="1:7" x14ac:dyDescent="0.25">
      <c r="A53" s="40">
        <v>3</v>
      </c>
      <c r="B53" s="45">
        <f t="shared" si="2"/>
        <v>14311.338071741693</v>
      </c>
    </row>
    <row r="54" spans="1:7" x14ac:dyDescent="0.25">
      <c r="A54" s="40">
        <v>4</v>
      </c>
      <c r="B54" s="45">
        <f t="shared" si="2"/>
        <v>8133.3062767716065</v>
      </c>
    </row>
    <row r="55" spans="1:7" x14ac:dyDescent="0.25">
      <c r="A55" s="40">
        <v>5</v>
      </c>
      <c r="B55" s="45">
        <f t="shared" si="2"/>
        <v>1300773.157561457</v>
      </c>
    </row>
    <row r="56" spans="1:7" x14ac:dyDescent="0.25">
      <c r="A56" s="40">
        <v>6</v>
      </c>
      <c r="B56" s="45">
        <f t="shared" si="2"/>
        <v>1650011.2248900121</v>
      </c>
    </row>
    <row r="57" spans="1:7" x14ac:dyDescent="0.25">
      <c r="A57" s="40">
        <v>7</v>
      </c>
      <c r="B57" s="45">
        <f t="shared" si="2"/>
        <v>9952.0239629798525</v>
      </c>
    </row>
    <row r="58" spans="1:7" x14ac:dyDescent="0.25">
      <c r="A58" s="40">
        <v>8</v>
      </c>
      <c r="B58" s="45">
        <f t="shared" si="2"/>
        <v>2577244.7130550286</v>
      </c>
    </row>
    <row r="59" spans="1:7" x14ac:dyDescent="0.25">
      <c r="A59" s="40">
        <v>9</v>
      </c>
      <c r="B59" s="45">
        <f t="shared" si="2"/>
        <v>2672190.2955481722</v>
      </c>
    </row>
    <row r="60" spans="1:7" x14ac:dyDescent="0.25">
      <c r="A60" s="46" t="s">
        <v>8</v>
      </c>
      <c r="B60" s="47">
        <f>SUM(B51:B59)</f>
        <v>8625431.1196126584</v>
      </c>
    </row>
    <row r="61" spans="1:7" x14ac:dyDescent="0.25">
      <c r="A61" s="41" t="s">
        <v>96</v>
      </c>
      <c r="B61" s="41"/>
      <c r="C61" s="41"/>
      <c r="D61" s="41">
        <f>B60/(9-2)</f>
        <v>1232204.4456589513</v>
      </c>
    </row>
    <row r="62" spans="1:7" x14ac:dyDescent="0.25">
      <c r="A62" s="41" t="s">
        <v>101</v>
      </c>
      <c r="B62" s="41"/>
      <c r="C62" s="51"/>
      <c r="D62" s="52">
        <f>SQRT(D61)/'Задания 1-6'!C30/SQRT(9)</f>
        <v>128.17164774258066</v>
      </c>
      <c r="F62" s="32">
        <f>D62^2</f>
        <v>16427.971285048181</v>
      </c>
      <c r="G62" s="26">
        <f>SQRT(B40)</f>
        <v>4.2697350100963165</v>
      </c>
    </row>
    <row r="63" spans="1:7" x14ac:dyDescent="0.25">
      <c r="C63" s="53" t="s">
        <v>97</v>
      </c>
      <c r="D63" s="50">
        <f>D13/D62</f>
        <v>4.2697350100963165</v>
      </c>
      <c r="E63" s="26" t="s">
        <v>125</v>
      </c>
    </row>
    <row r="64" spans="1:7" x14ac:dyDescent="0.25">
      <c r="C64" s="26" t="s">
        <v>152</v>
      </c>
    </row>
    <row r="66" spans="1:8" x14ac:dyDescent="0.25">
      <c r="A66" s="76" t="s">
        <v>126</v>
      </c>
      <c r="B66" s="76"/>
      <c r="C66" s="76"/>
      <c r="D66" s="76"/>
      <c r="E66" s="76"/>
      <c r="F66" s="76"/>
      <c r="G66" s="76"/>
      <c r="H66" s="76"/>
    </row>
    <row r="69" spans="1:8" x14ac:dyDescent="0.25">
      <c r="A69" s="41" t="s">
        <v>102</v>
      </c>
      <c r="B69" s="41">
        <v>3.4990000000000001</v>
      </c>
    </row>
    <row r="70" spans="1:8" x14ac:dyDescent="0.25">
      <c r="A70" s="46" t="s">
        <v>98</v>
      </c>
      <c r="B70" s="54">
        <f>D62</f>
        <v>128.17164774258066</v>
      </c>
    </row>
    <row r="71" spans="1:8" x14ac:dyDescent="0.25">
      <c r="A71" s="41" t="s">
        <v>103</v>
      </c>
      <c r="B71" s="41"/>
      <c r="C71" s="55">
        <f>D13-B69*B70</f>
        <v>98.786376216939402</v>
      </c>
    </row>
    <row r="72" spans="1:8" x14ac:dyDescent="0.25">
      <c r="A72" s="41" t="s">
        <v>104</v>
      </c>
      <c r="B72" s="41"/>
      <c r="C72" s="55">
        <f>D13+B69*B70</f>
        <v>995.7315671195189</v>
      </c>
    </row>
    <row r="73" spans="1:8" x14ac:dyDescent="0.25">
      <c r="A73" s="80" t="s">
        <v>127</v>
      </c>
      <c r="B73" s="80"/>
      <c r="C73" s="80"/>
    </row>
    <row r="75" spans="1:8" x14ac:dyDescent="0.25">
      <c r="A75" s="76" t="s">
        <v>106</v>
      </c>
      <c r="B75" s="76"/>
      <c r="C75" s="76"/>
      <c r="D75" s="76"/>
    </row>
    <row r="81" spans="1:3" x14ac:dyDescent="0.25">
      <c r="A81" s="41" t="s">
        <v>87</v>
      </c>
      <c r="B81" s="41" t="s">
        <v>110</v>
      </c>
    </row>
    <row r="82" spans="1:3" x14ac:dyDescent="0.25">
      <c r="A82" s="41" t="s">
        <v>107</v>
      </c>
      <c r="B82" s="56">
        <f>'Задания 1-6'!M53</f>
        <v>0.8500350123409377</v>
      </c>
    </row>
    <row r="83" spans="1:3" x14ac:dyDescent="0.25">
      <c r="A83" s="41" t="s">
        <v>108</v>
      </c>
      <c r="B83" s="56">
        <f>SQRT((1-B82*B82)/(9-2))</f>
        <v>0.19908378630779763</v>
      </c>
    </row>
    <row r="84" spans="1:3" x14ac:dyDescent="0.25">
      <c r="A84" s="57" t="s">
        <v>109</v>
      </c>
      <c r="B84" s="58">
        <f>B82/B83</f>
        <v>4.2697350100963192</v>
      </c>
      <c r="C84" s="26" t="s">
        <v>99</v>
      </c>
    </row>
    <row r="85" spans="1:3" x14ac:dyDescent="0.25">
      <c r="C85" s="26" t="s">
        <v>164</v>
      </c>
    </row>
    <row r="87" spans="1:3" x14ac:dyDescent="0.25">
      <c r="A87" s="26" t="s">
        <v>111</v>
      </c>
    </row>
    <row r="88" spans="1:3" x14ac:dyDescent="0.25">
      <c r="A88" s="26" t="s">
        <v>53</v>
      </c>
    </row>
    <row r="89" spans="1:3" ht="15.75" thickBot="1" x14ac:dyDescent="0.3"/>
    <row r="90" spans="1:3" x14ac:dyDescent="0.25">
      <c r="A90" s="33" t="s">
        <v>54</v>
      </c>
      <c r="B90" s="33"/>
    </row>
    <row r="91" spans="1:3" x14ac:dyDescent="0.25">
      <c r="A91" s="34" t="s">
        <v>55</v>
      </c>
      <c r="B91" s="34">
        <v>0.8500350123409377</v>
      </c>
    </row>
    <row r="92" spans="1:3" x14ac:dyDescent="0.25">
      <c r="A92" s="34" t="s">
        <v>56</v>
      </c>
      <c r="B92" s="35">
        <v>0.72255952220545805</v>
      </c>
      <c r="C92" s="31" t="s">
        <v>115</v>
      </c>
    </row>
    <row r="93" spans="1:3" x14ac:dyDescent="0.25">
      <c r="A93" s="34" t="s">
        <v>57</v>
      </c>
      <c r="B93" s="34">
        <v>0.6829251682348092</v>
      </c>
    </row>
    <row r="94" spans="1:3" x14ac:dyDescent="0.25">
      <c r="A94" s="34" t="s">
        <v>58</v>
      </c>
      <c r="B94" s="34">
        <v>1110.047046597103</v>
      </c>
    </row>
    <row r="95" spans="1:3" ht="15.75" thickBot="1" x14ac:dyDescent="0.3">
      <c r="A95" s="36" t="s">
        <v>59</v>
      </c>
      <c r="B95" s="36">
        <v>9</v>
      </c>
    </row>
    <row r="97" spans="1:9" ht="15.75" thickBot="1" x14ac:dyDescent="0.3">
      <c r="A97" s="26" t="s">
        <v>60</v>
      </c>
      <c r="E97" s="31" t="s">
        <v>115</v>
      </c>
    </row>
    <row r="98" spans="1:9" x14ac:dyDescent="0.25">
      <c r="A98" s="37"/>
      <c r="B98" s="37" t="s">
        <v>65</v>
      </c>
      <c r="C98" s="37" t="s">
        <v>66</v>
      </c>
      <c r="D98" s="37" t="s">
        <v>67</v>
      </c>
      <c r="E98" s="37" t="s">
        <v>68</v>
      </c>
      <c r="F98" s="37" t="s">
        <v>69</v>
      </c>
    </row>
    <row r="99" spans="1:9" x14ac:dyDescent="0.25">
      <c r="A99" s="34" t="s">
        <v>61</v>
      </c>
      <c r="B99" s="34">
        <v>1</v>
      </c>
      <c r="C99" s="34">
        <v>22463872.028142888</v>
      </c>
      <c r="D99" s="34">
        <v>22463872.028142888</v>
      </c>
      <c r="E99" s="35">
        <v>18.230637056442198</v>
      </c>
      <c r="F99" s="34">
        <v>3.7018847016606453E-3</v>
      </c>
    </row>
    <row r="100" spans="1:9" x14ac:dyDescent="0.25">
      <c r="A100" s="34" t="s">
        <v>62</v>
      </c>
      <c r="B100" s="34">
        <v>7</v>
      </c>
      <c r="C100" s="34">
        <v>8625431.1196126565</v>
      </c>
      <c r="D100" s="34">
        <v>1232204.4456589508</v>
      </c>
      <c r="E100" s="34"/>
      <c r="F100" s="34"/>
    </row>
    <row r="101" spans="1:9" ht="15.75" thickBot="1" x14ac:dyDescent="0.3">
      <c r="A101" s="36" t="s">
        <v>63</v>
      </c>
      <c r="B101" s="36">
        <v>8</v>
      </c>
      <c r="C101" s="36">
        <v>31089303.147755545</v>
      </c>
      <c r="D101" s="36"/>
      <c r="E101" s="36"/>
      <c r="F101" s="36"/>
    </row>
    <row r="102" spans="1:9" ht="15.75" thickBot="1" x14ac:dyDescent="0.3"/>
    <row r="103" spans="1:9" x14ac:dyDescent="0.25">
      <c r="A103" s="37"/>
      <c r="B103" s="37" t="s">
        <v>50</v>
      </c>
      <c r="C103" s="37" t="s">
        <v>58</v>
      </c>
      <c r="D103" s="37" t="s">
        <v>70</v>
      </c>
      <c r="E103" s="37" t="s">
        <v>71</v>
      </c>
      <c r="F103" s="37" t="s">
        <v>72</v>
      </c>
      <c r="G103" s="37" t="s">
        <v>73</v>
      </c>
      <c r="H103" s="37" t="s">
        <v>74</v>
      </c>
      <c r="I103" s="37" t="s">
        <v>75</v>
      </c>
    </row>
    <row r="104" spans="1:9" x14ac:dyDescent="0.25">
      <c r="A104" s="34" t="s">
        <v>64</v>
      </c>
      <c r="B104" s="35">
        <v>4844.4010752047525</v>
      </c>
      <c r="C104" s="34">
        <v>2523.911510227088</v>
      </c>
      <c r="D104" s="34">
        <v>1.9194021088199242</v>
      </c>
      <c r="E104" s="34">
        <v>9.641455304305116E-2</v>
      </c>
      <c r="F104" s="34">
        <v>-1123.7012907523913</v>
      </c>
      <c r="G104" s="34">
        <v>10812.503441161896</v>
      </c>
      <c r="H104" s="34">
        <v>-1123.7012907523913</v>
      </c>
      <c r="I104" s="34">
        <v>10812.503441161896</v>
      </c>
    </row>
    <row r="105" spans="1:9" ht="15.75" thickBot="1" x14ac:dyDescent="0.3">
      <c r="A105" s="36" t="s">
        <v>76</v>
      </c>
      <c r="B105" s="38">
        <v>547.25897166822915</v>
      </c>
      <c r="C105" s="36">
        <v>128.17164774258063</v>
      </c>
      <c r="D105" s="38">
        <v>4.2697350100963174</v>
      </c>
      <c r="E105" s="36">
        <v>3.7018847016606453E-3</v>
      </c>
      <c r="F105" s="36">
        <v>244.18118504951536</v>
      </c>
      <c r="G105" s="36">
        <v>850.336758286943</v>
      </c>
      <c r="H105" s="38">
        <v>244.18118504951536</v>
      </c>
      <c r="I105" s="38">
        <v>850.336758286943</v>
      </c>
    </row>
    <row r="106" spans="1:9" x14ac:dyDescent="0.25">
      <c r="B106" s="31" t="s">
        <v>115</v>
      </c>
      <c r="D106" s="31" t="s">
        <v>115</v>
      </c>
      <c r="H106" s="31" t="s">
        <v>115</v>
      </c>
    </row>
    <row r="109" spans="1:9" x14ac:dyDescent="0.25">
      <c r="A109" s="26" t="s">
        <v>112</v>
      </c>
    </row>
    <row r="110" spans="1:9" ht="15.75" thickBot="1" x14ac:dyDescent="0.3"/>
    <row r="111" spans="1:9" x14ac:dyDescent="0.25">
      <c r="A111" s="37" t="s">
        <v>24</v>
      </c>
      <c r="B111" s="37" t="s">
        <v>113</v>
      </c>
      <c r="C111" s="37" t="s">
        <v>114</v>
      </c>
    </row>
    <row r="112" spans="1:9" x14ac:dyDescent="0.25">
      <c r="A112" s="34">
        <v>1</v>
      </c>
      <c r="B112" s="34">
        <v>12591.948029677264</v>
      </c>
      <c r="C112" s="34">
        <v>8.3419703227373248</v>
      </c>
    </row>
    <row r="113" spans="1:3" x14ac:dyDescent="0.25">
      <c r="A113" s="34">
        <v>2</v>
      </c>
      <c r="B113" s="34">
        <v>13385.071472342657</v>
      </c>
      <c r="C113" s="34">
        <v>-14.381472342656707</v>
      </c>
    </row>
    <row r="114" spans="1:3" x14ac:dyDescent="0.25">
      <c r="A114" s="34">
        <v>3</v>
      </c>
      <c r="B114" s="34">
        <v>13613.070103280865</v>
      </c>
      <c r="C114" s="34">
        <v>196.19989671913572</v>
      </c>
    </row>
    <row r="115" spans="1:3" x14ac:dyDescent="0.25">
      <c r="A115" s="34">
        <v>4</v>
      </c>
      <c r="B115" s="34">
        <v>14815.421857886629</v>
      </c>
      <c r="C115" s="34">
        <v>-24.701857886630023</v>
      </c>
    </row>
    <row r="116" spans="1:3" x14ac:dyDescent="0.25">
      <c r="A116" s="34">
        <v>5</v>
      </c>
      <c r="B116" s="34">
        <v>16045.05549995509</v>
      </c>
      <c r="C116" s="34">
        <v>-394.50549995509027</v>
      </c>
    </row>
    <row r="117" spans="1:3" x14ac:dyDescent="0.25">
      <c r="A117" s="34">
        <v>6</v>
      </c>
      <c r="B117" s="34">
        <v>17042.793098590671</v>
      </c>
      <c r="C117" s="34">
        <v>-578.55309859066983</v>
      </c>
    </row>
    <row r="118" spans="1:3" x14ac:dyDescent="0.25">
      <c r="A118" s="34">
        <v>7</v>
      </c>
      <c r="B118" s="34">
        <v>17432.534348057692</v>
      </c>
      <c r="C118" s="34">
        <v>-191.4643480576924</v>
      </c>
    </row>
    <row r="119" spans="1:3" x14ac:dyDescent="0.25">
      <c r="A119" s="34">
        <v>8</v>
      </c>
      <c r="B119" s="34">
        <v>17266.894317034206</v>
      </c>
      <c r="C119" s="34">
        <v>253.93568296579542</v>
      </c>
    </row>
    <row r="120" spans="1:3" ht="15.75" thickBot="1" x14ac:dyDescent="0.3">
      <c r="A120" s="36">
        <v>9</v>
      </c>
      <c r="B120" s="36">
        <v>17346.791273174946</v>
      </c>
      <c r="C120" s="36">
        <v>745.12872682505258</v>
      </c>
    </row>
  </sheetData>
  <mergeCells count="10">
    <mergeCell ref="A43:G43"/>
    <mergeCell ref="A66:H66"/>
    <mergeCell ref="A73:C73"/>
    <mergeCell ref="A75:D75"/>
    <mergeCell ref="A1:K1"/>
    <mergeCell ref="A13:B14"/>
    <mergeCell ref="F14:H14"/>
    <mergeCell ref="A17:B18"/>
    <mergeCell ref="A32:C32"/>
    <mergeCell ref="A35:G3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35"/>
  <sheetViews>
    <sheetView workbookViewId="0">
      <selection activeCell="H133" sqref="H133"/>
    </sheetView>
  </sheetViews>
  <sheetFormatPr defaultRowHeight="15" x14ac:dyDescent="0.25"/>
  <cols>
    <col min="1" max="2" width="9.140625" style="26"/>
    <col min="3" max="3" width="16.28515625" style="26" customWidth="1"/>
    <col min="4" max="4" width="12.5703125" style="26" customWidth="1"/>
    <col min="5" max="5" width="19" style="26" customWidth="1"/>
    <col min="6" max="6" width="7.85546875" style="26" customWidth="1"/>
    <col min="7" max="8" width="8.7109375" style="26" customWidth="1"/>
    <col min="9" max="9" width="9.85546875" style="26" customWidth="1"/>
    <col min="10" max="15" width="6" style="26" customWidth="1"/>
    <col min="16" max="16" width="6.5703125" style="26" customWidth="1"/>
    <col min="17" max="17" width="12.28515625" style="26" customWidth="1"/>
    <col min="18" max="18" width="3" style="26" customWidth="1"/>
    <col min="19" max="19" width="2" style="26" customWidth="1"/>
    <col min="20" max="20" width="6" style="26" customWidth="1"/>
    <col min="21" max="21" width="5.42578125" style="26" customWidth="1"/>
    <col min="22" max="16384" width="9.140625" style="26"/>
  </cols>
  <sheetData>
    <row r="1" spans="1:24" x14ac:dyDescent="0.25">
      <c r="A1" s="39" t="s">
        <v>48</v>
      </c>
      <c r="B1" s="39" t="s">
        <v>5</v>
      </c>
      <c r="C1" s="39" t="s">
        <v>49</v>
      </c>
      <c r="D1" s="39" t="s">
        <v>116</v>
      </c>
    </row>
    <row r="2" spans="1:24" x14ac:dyDescent="0.25">
      <c r="A2" s="40">
        <v>1</v>
      </c>
      <c r="B2" s="40">
        <v>12600.29</v>
      </c>
      <c r="C2" s="40">
        <v>35.75</v>
      </c>
      <c r="D2" s="59">
        <v>15.02</v>
      </c>
    </row>
    <row r="3" spans="1:24" x14ac:dyDescent="0.25">
      <c r="A3" s="40">
        <v>2</v>
      </c>
      <c r="B3" s="40">
        <v>13370.69</v>
      </c>
      <c r="C3" s="40">
        <v>39.82</v>
      </c>
      <c r="D3" s="59">
        <v>16.350000000000001</v>
      </c>
    </row>
    <row r="4" spans="1:24" x14ac:dyDescent="0.25">
      <c r="A4" s="40">
        <v>3</v>
      </c>
      <c r="B4" s="40">
        <v>13809.27</v>
      </c>
      <c r="C4" s="40">
        <v>40.99</v>
      </c>
      <c r="D4" s="59">
        <v>16.600000000000001</v>
      </c>
    </row>
    <row r="5" spans="1:24" x14ac:dyDescent="0.25">
      <c r="A5" s="40">
        <v>4</v>
      </c>
      <c r="B5" s="40">
        <v>14790.72</v>
      </c>
      <c r="C5" s="40">
        <v>47.16</v>
      </c>
      <c r="D5" s="59">
        <v>18.010000000000002</v>
      </c>
    </row>
    <row r="6" spans="1:24" x14ac:dyDescent="0.25">
      <c r="A6" s="40">
        <v>5</v>
      </c>
      <c r="B6" s="40">
        <v>15650.55</v>
      </c>
      <c r="C6" s="40">
        <v>53.47</v>
      </c>
      <c r="D6" s="59">
        <v>21.83</v>
      </c>
    </row>
    <row r="7" spans="1:24" x14ac:dyDescent="0.25">
      <c r="A7" s="40">
        <v>6</v>
      </c>
      <c r="B7" s="40">
        <v>16464.240000000002</v>
      </c>
      <c r="C7" s="40">
        <v>58.59</v>
      </c>
      <c r="D7" s="59">
        <v>23.58</v>
      </c>
    </row>
    <row r="8" spans="1:24" x14ac:dyDescent="0.25">
      <c r="A8" s="40">
        <v>7</v>
      </c>
      <c r="B8" s="40">
        <v>17241.07</v>
      </c>
      <c r="C8" s="40">
        <v>60.59</v>
      </c>
      <c r="D8" s="59">
        <v>22.47</v>
      </c>
    </row>
    <row r="9" spans="1:24" x14ac:dyDescent="0.25">
      <c r="A9" s="40">
        <v>8</v>
      </c>
      <c r="B9" s="40">
        <v>17520.830000000002</v>
      </c>
      <c r="C9" s="40">
        <v>59.74</v>
      </c>
      <c r="D9" s="59">
        <v>20.23</v>
      </c>
    </row>
    <row r="10" spans="1:24" x14ac:dyDescent="0.25">
      <c r="A10" s="40">
        <v>9</v>
      </c>
      <c r="B10" s="40">
        <v>18091.919999999998</v>
      </c>
      <c r="C10" s="40">
        <v>60.15</v>
      </c>
      <c r="D10" s="59">
        <v>21.22</v>
      </c>
    </row>
    <row r="12" spans="1:24" x14ac:dyDescent="0.25">
      <c r="A12" s="82" t="s">
        <v>128</v>
      </c>
      <c r="B12" s="82"/>
      <c r="C12" s="82"/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</row>
    <row r="14" spans="1:24" x14ac:dyDescent="0.25">
      <c r="G14" s="40">
        <v>1</v>
      </c>
      <c r="H14" s="40">
        <v>1</v>
      </c>
      <c r="I14" s="40">
        <v>1</v>
      </c>
      <c r="J14" s="40">
        <v>1</v>
      </c>
      <c r="K14" s="40">
        <v>1</v>
      </c>
      <c r="L14" s="40">
        <v>1</v>
      </c>
      <c r="M14" s="40">
        <v>1</v>
      </c>
      <c r="N14" s="40">
        <v>1</v>
      </c>
      <c r="O14" s="40">
        <v>1</v>
      </c>
      <c r="S14" s="40">
        <v>1</v>
      </c>
      <c r="T14" s="40">
        <v>35.75</v>
      </c>
      <c r="U14" s="59">
        <v>15.02</v>
      </c>
      <c r="X14" s="41">
        <v>12600.29</v>
      </c>
    </row>
    <row r="15" spans="1:24" ht="18" x14ac:dyDescent="0.25">
      <c r="E15" s="26" t="s">
        <v>129</v>
      </c>
      <c r="F15" s="26" t="s">
        <v>130</v>
      </c>
      <c r="G15" s="40">
        <v>35.75</v>
      </c>
      <c r="H15" s="40">
        <v>39.82</v>
      </c>
      <c r="I15" s="40">
        <v>40.99</v>
      </c>
      <c r="J15" s="40">
        <v>47.16</v>
      </c>
      <c r="K15" s="40">
        <v>53.47</v>
      </c>
      <c r="L15" s="40">
        <v>58.59</v>
      </c>
      <c r="M15" s="40">
        <v>60.59</v>
      </c>
      <c r="N15" s="40">
        <v>59.74</v>
      </c>
      <c r="O15" s="40">
        <v>60.15</v>
      </c>
      <c r="Q15" s="26" t="s">
        <v>131</v>
      </c>
      <c r="R15" s="26" t="s">
        <v>130</v>
      </c>
      <c r="S15" s="40">
        <v>1</v>
      </c>
      <c r="T15" s="40">
        <v>39.82</v>
      </c>
      <c r="U15" s="59">
        <v>16.350000000000001</v>
      </c>
      <c r="W15" s="26" t="s">
        <v>134</v>
      </c>
      <c r="X15" s="41">
        <v>13370.69</v>
      </c>
    </row>
    <row r="16" spans="1:24" x14ac:dyDescent="0.25">
      <c r="G16" s="59">
        <v>15.02</v>
      </c>
      <c r="H16" s="59">
        <v>16.350000000000001</v>
      </c>
      <c r="I16" s="59">
        <v>16.600000000000001</v>
      </c>
      <c r="J16" s="59">
        <v>18.010000000000002</v>
      </c>
      <c r="K16" s="59">
        <v>21.83</v>
      </c>
      <c r="L16" s="59">
        <v>23.58</v>
      </c>
      <c r="M16" s="59">
        <v>22.47</v>
      </c>
      <c r="N16" s="59">
        <v>20.23</v>
      </c>
      <c r="O16" s="59">
        <v>21.22</v>
      </c>
      <c r="S16" s="40">
        <v>1</v>
      </c>
      <c r="T16" s="40">
        <v>40.99</v>
      </c>
      <c r="U16" s="59">
        <v>16.600000000000001</v>
      </c>
      <c r="X16" s="41">
        <v>13809.27</v>
      </c>
    </row>
    <row r="17" spans="5:24" x14ac:dyDescent="0.25">
      <c r="S17" s="40">
        <v>1</v>
      </c>
      <c r="T17" s="40">
        <v>47.16</v>
      </c>
      <c r="U17" s="59">
        <v>18.010000000000002</v>
      </c>
      <c r="X17" s="41">
        <v>14790.72</v>
      </c>
    </row>
    <row r="18" spans="5:24" x14ac:dyDescent="0.25">
      <c r="S18" s="40">
        <v>1</v>
      </c>
      <c r="T18" s="40">
        <v>53.47</v>
      </c>
      <c r="U18" s="59">
        <v>21.83</v>
      </c>
      <c r="X18" s="41">
        <v>15650.55</v>
      </c>
    </row>
    <row r="19" spans="5:24" ht="18" x14ac:dyDescent="0.25">
      <c r="E19" s="26" t="s">
        <v>132</v>
      </c>
      <c r="F19" s="26" t="s">
        <v>130</v>
      </c>
      <c r="G19" s="41">
        <f t="array" ref="G19:I21">MMULT(G14:O16,S14:U22)</f>
        <v>9</v>
      </c>
      <c r="H19" s="41">
        <v>456.26</v>
      </c>
      <c r="I19" s="41">
        <v>175.31</v>
      </c>
      <c r="S19" s="40">
        <v>1</v>
      </c>
      <c r="T19" s="40">
        <v>58.59</v>
      </c>
      <c r="U19" s="59">
        <v>23.58</v>
      </c>
      <c r="X19" s="41">
        <v>16464.240000000002</v>
      </c>
    </row>
    <row r="20" spans="5:24" x14ac:dyDescent="0.25">
      <c r="G20" s="41">
        <v>456.26</v>
      </c>
      <c r="H20" s="41">
        <v>23917.807799999999</v>
      </c>
      <c r="I20" s="41">
        <v>9112.9904000000006</v>
      </c>
      <c r="S20" s="40">
        <v>1</v>
      </c>
      <c r="T20" s="40">
        <v>60.59</v>
      </c>
      <c r="U20" s="59">
        <v>22.47</v>
      </c>
      <c r="X20" s="41">
        <v>17241.07</v>
      </c>
    </row>
    <row r="21" spans="5:24" x14ac:dyDescent="0.25">
      <c r="G21" s="41">
        <v>175.31</v>
      </c>
      <c r="H21" s="41">
        <v>9112.9904000000006</v>
      </c>
      <c r="I21" s="41">
        <v>3489.8505</v>
      </c>
      <c r="S21" s="40">
        <v>1</v>
      </c>
      <c r="T21" s="40">
        <v>59.74</v>
      </c>
      <c r="U21" s="59">
        <v>20.23</v>
      </c>
      <c r="X21" s="41">
        <v>17520.830000000002</v>
      </c>
    </row>
    <row r="22" spans="5:24" x14ac:dyDescent="0.25">
      <c r="S22" s="40">
        <v>1</v>
      </c>
      <c r="T22" s="40">
        <v>60.15</v>
      </c>
      <c r="U22" s="59">
        <v>21.22</v>
      </c>
      <c r="X22" s="41">
        <v>18091.919999999998</v>
      </c>
    </row>
    <row r="23" spans="5:24" ht="18" x14ac:dyDescent="0.25">
      <c r="E23" s="26" t="s">
        <v>133</v>
      </c>
      <c r="F23" s="26" t="s">
        <v>130</v>
      </c>
      <c r="G23" s="67">
        <f t="array" ref="G23:I25">MINVERSE(G19:I21)</f>
        <v>5.738303992469306</v>
      </c>
      <c r="H23" s="67">
        <v>7.216176310594058E-2</v>
      </c>
      <c r="I23" s="67">
        <v>-0.4766942100675387</v>
      </c>
    </row>
    <row r="24" spans="5:24" x14ac:dyDescent="0.25">
      <c r="G24" s="67">
        <v>7.216176310594169E-2</v>
      </c>
      <c r="H24" s="67">
        <v>9.1581045936655805E-3</v>
      </c>
      <c r="I24" s="67">
        <v>-2.7539402600304221E-2</v>
      </c>
    </row>
    <row r="25" spans="5:24" x14ac:dyDescent="0.25">
      <c r="G25" s="67">
        <v>-0.47669421006754159</v>
      </c>
      <c r="H25" s="67">
        <v>-2.7539402600304165E-2</v>
      </c>
      <c r="I25" s="67">
        <v>9.6146116713380025E-2</v>
      </c>
    </row>
    <row r="27" spans="5:24" ht="18" x14ac:dyDescent="0.25">
      <c r="E27" s="26" t="s">
        <v>136</v>
      </c>
      <c r="F27" s="26" t="s">
        <v>130</v>
      </c>
      <c r="G27" s="41">
        <f t="array" ref="G27:G29">MMULT(G14:O16,X14:X22)</f>
        <v>139539.58000000002</v>
      </c>
    </row>
    <row r="28" spans="5:24" x14ac:dyDescent="0.25">
      <c r="G28" s="41">
        <v>7227488.1094000004</v>
      </c>
    </row>
    <row r="29" spans="5:24" x14ac:dyDescent="0.25">
      <c r="G29" s="41">
        <v>2759123.9484000001</v>
      </c>
    </row>
    <row r="31" spans="5:24" ht="18" x14ac:dyDescent="0.25">
      <c r="E31" s="26" t="s">
        <v>135</v>
      </c>
      <c r="F31" s="26" t="s">
        <v>130</v>
      </c>
      <c r="G31" s="60">
        <f t="array" ref="G31:G33">MMULT(G23:I25,G27:G29)</f>
        <v>7010.4027620488778</v>
      </c>
    </row>
    <row r="32" spans="5:24" x14ac:dyDescent="0.25">
      <c r="G32" s="60">
        <v>274.88893209349771</v>
      </c>
    </row>
    <row r="33" spans="1:8" x14ac:dyDescent="0.25">
      <c r="G33" s="60">
        <v>-279.36152538598981</v>
      </c>
    </row>
    <row r="35" spans="1:8" x14ac:dyDescent="0.25">
      <c r="A35" s="61" t="s">
        <v>137</v>
      </c>
      <c r="B35" s="61"/>
      <c r="C35" s="61"/>
      <c r="D35" s="61"/>
      <c r="E35" s="61"/>
      <c r="F35" s="61"/>
      <c r="G35" s="61"/>
      <c r="H35" s="61"/>
    </row>
    <row r="37" spans="1:8" x14ac:dyDescent="0.25">
      <c r="A37" s="78" t="s">
        <v>79</v>
      </c>
      <c r="B37" s="78"/>
    </row>
    <row r="38" spans="1:8" x14ac:dyDescent="0.25">
      <c r="A38" s="78"/>
      <c r="B38" s="78"/>
    </row>
    <row r="41" spans="1:8" x14ac:dyDescent="0.25">
      <c r="A41" s="39" t="s">
        <v>48</v>
      </c>
      <c r="B41" s="39" t="s">
        <v>77</v>
      </c>
      <c r="C41" s="39" t="s">
        <v>81</v>
      </c>
      <c r="D41" s="39" t="s">
        <v>82</v>
      </c>
    </row>
    <row r="42" spans="1:8" x14ac:dyDescent="0.25">
      <c r="A42" s="40">
        <v>1</v>
      </c>
      <c r="B42" s="45">
        <f>$G$31+$G$32*C2+$G$33*D2</f>
        <v>12641.671973093853</v>
      </c>
      <c r="C42" s="45">
        <f>(B42-'Задания 1-6'!$C$6)^2</f>
        <v>8195199.0328032374</v>
      </c>
      <c r="D42" s="45">
        <f>(B2-'Задания 1-6'!$C$6)^2</f>
        <v>8433841.9849493913</v>
      </c>
    </row>
    <row r="43" spans="1:8" x14ac:dyDescent="0.25">
      <c r="A43" s="40">
        <v>2</v>
      </c>
      <c r="B43" s="45">
        <f t="shared" ref="B43:B50" si="0">$G$31+$G$32*C3+$G$33*D3</f>
        <v>13388.919097951022</v>
      </c>
      <c r="C43" s="45">
        <f>(B43-'Задания 1-6'!$C$6)^2</f>
        <v>4475250.0448015621</v>
      </c>
      <c r="D43" s="45">
        <f>(B3-'Задания 1-6'!$C$6)^2</f>
        <v>4552708.8809493901</v>
      </c>
    </row>
    <row r="44" spans="1:8" x14ac:dyDescent="0.25">
      <c r="A44" s="40">
        <v>3</v>
      </c>
      <c r="B44" s="45">
        <f t="shared" si="0"/>
        <v>13640.698767153919</v>
      </c>
      <c r="C44" s="45">
        <f>(B44-'Задания 1-6'!$C$6)^2</f>
        <v>3473374.0022003581</v>
      </c>
      <c r="D44" s="45">
        <f>(B4-'Задания 1-6'!$C$6)^2</f>
        <v>2873458.182993833</v>
      </c>
    </row>
    <row r="45" spans="1:8" x14ac:dyDescent="0.25">
      <c r="A45" s="40">
        <v>4</v>
      </c>
      <c r="B45" s="45">
        <f t="shared" si="0"/>
        <v>14942.863727376553</v>
      </c>
      <c r="C45" s="45">
        <f>(B45-'Задания 1-6'!$C$6)^2</f>
        <v>315320.48976000823</v>
      </c>
      <c r="D45" s="45">
        <f>(B5-'Задания 1-6'!$C$6)^2</f>
        <v>509335.97049383126</v>
      </c>
    </row>
    <row r="46" spans="1:8" x14ac:dyDescent="0.25">
      <c r="A46" s="40">
        <v>5</v>
      </c>
      <c r="B46" s="45">
        <f t="shared" si="0"/>
        <v>15610.251861912044</v>
      </c>
      <c r="C46" s="45">
        <f>(B46-'Задания 1-6'!$C$6)^2</f>
        <v>11205.087127903791</v>
      </c>
      <c r="D46" s="45">
        <f>(B6-'Задания 1-6'!$C$6)^2</f>
        <v>21360.472060492968</v>
      </c>
    </row>
    <row r="47" spans="1:8" x14ac:dyDescent="0.25">
      <c r="A47" s="40">
        <v>6</v>
      </c>
      <c r="B47" s="45">
        <f t="shared" si="0"/>
        <v>16528.800524805272</v>
      </c>
      <c r="C47" s="45">
        <f>(B47-'Задания 1-6'!$C$6)^2</f>
        <v>1049400.9881174723</v>
      </c>
      <c r="D47" s="45">
        <f>(B7-'Задания 1-6'!$C$6)^2</f>
        <v>921297.09156049264</v>
      </c>
    </row>
    <row r="48" spans="1:8" x14ac:dyDescent="0.25">
      <c r="A48" s="40">
        <v>7</v>
      </c>
      <c r="B48" s="45">
        <f t="shared" si="0"/>
        <v>17388.669682170716</v>
      </c>
      <c r="C48" s="45">
        <f>(B48-'Задания 1-6'!$C$6)^2</f>
        <v>3550480.60968458</v>
      </c>
      <c r="D48" s="45">
        <f>(B8-'Задания 1-6'!$C$6)^2</f>
        <v>3016030.4074382628</v>
      </c>
    </row>
    <row r="49" spans="1:10" x14ac:dyDescent="0.25">
      <c r="A49" s="40">
        <v>8</v>
      </c>
      <c r="B49" s="45">
        <f t="shared" si="0"/>
        <v>17780.78390675586</v>
      </c>
      <c r="C49" s="45">
        <f>(B49-'Задания 1-6'!$C$6)^2</f>
        <v>5181933.8082038071</v>
      </c>
      <c r="D49" s="45">
        <f>(B9-'Задания 1-6'!$C$6)^2</f>
        <v>4065998.9068160476</v>
      </c>
    </row>
    <row r="50" spans="1:10" x14ac:dyDescent="0.25">
      <c r="A50" s="40">
        <v>9</v>
      </c>
      <c r="B50" s="45">
        <f t="shared" si="0"/>
        <v>17616.920458782064</v>
      </c>
      <c r="C50" s="45">
        <f>(B50-'Задания 1-6'!$C$6)^2</f>
        <v>4462752.0777575281</v>
      </c>
      <c r="D50" s="45">
        <f>(B10-'Задания 1-6'!$C$6)^2</f>
        <v>6695271.2504938068</v>
      </c>
    </row>
    <row r="51" spans="1:10" x14ac:dyDescent="0.25">
      <c r="A51" s="83" t="s">
        <v>8</v>
      </c>
      <c r="B51" s="84"/>
      <c r="C51" s="47">
        <f>SUM(C42:C50)</f>
        <v>30714916.14045646</v>
      </c>
      <c r="D51" s="47">
        <f>SUM(D42:D50)</f>
        <v>31089303.147755545</v>
      </c>
    </row>
    <row r="52" spans="1:10" x14ac:dyDescent="0.25">
      <c r="A52" s="80" t="s">
        <v>83</v>
      </c>
      <c r="B52" s="80"/>
      <c r="C52" s="80"/>
      <c r="D52" s="48">
        <f>C51/D51</f>
        <v>0.98795769060760974</v>
      </c>
    </row>
    <row r="53" spans="1:10" x14ac:dyDescent="0.25">
      <c r="A53" s="31" t="s">
        <v>139</v>
      </c>
      <c r="B53" s="31"/>
      <c r="C53" s="31"/>
      <c r="D53" s="31"/>
      <c r="E53" s="31"/>
      <c r="F53" s="31"/>
      <c r="G53" s="31"/>
      <c r="H53" s="31"/>
      <c r="I53" s="31"/>
      <c r="J53" s="31"/>
    </row>
    <row r="55" spans="1:10" x14ac:dyDescent="0.25">
      <c r="A55" s="76" t="s">
        <v>140</v>
      </c>
      <c r="B55" s="76"/>
      <c r="C55" s="76"/>
      <c r="D55" s="76"/>
      <c r="E55" s="76"/>
      <c r="F55" s="76"/>
      <c r="G55" s="76"/>
    </row>
    <row r="56" spans="1:10" x14ac:dyDescent="0.25">
      <c r="A56" s="41" t="s">
        <v>87</v>
      </c>
      <c r="B56" s="81" t="s">
        <v>141</v>
      </c>
      <c r="C56" s="81"/>
    </row>
    <row r="60" spans="1:10" x14ac:dyDescent="0.25">
      <c r="A60" s="49" t="s">
        <v>89</v>
      </c>
      <c r="B60" s="50">
        <f>D52/(1-D52)*(9-2-1)/2</f>
        <v>246.1216511922332</v>
      </c>
      <c r="D60" s="26" t="s">
        <v>142</v>
      </c>
    </row>
    <row r="61" spans="1:10" x14ac:dyDescent="0.25">
      <c r="A61" s="26" t="s">
        <v>143</v>
      </c>
    </row>
    <row r="63" spans="1:10" x14ac:dyDescent="0.25">
      <c r="A63" s="76" t="s">
        <v>91</v>
      </c>
      <c r="B63" s="76"/>
      <c r="C63" s="76"/>
      <c r="D63" s="76"/>
      <c r="E63" s="76"/>
      <c r="F63" s="76"/>
      <c r="G63" s="76"/>
    </row>
    <row r="64" spans="1:10" x14ac:dyDescent="0.25">
      <c r="A64" s="41" t="s">
        <v>87</v>
      </c>
      <c r="B64" s="41" t="s">
        <v>144</v>
      </c>
      <c r="C64" s="41" t="s">
        <v>145</v>
      </c>
    </row>
    <row r="66" spans="1:7" x14ac:dyDescent="0.25">
      <c r="A66" s="26" t="s">
        <v>94</v>
      </c>
    </row>
    <row r="67" spans="1:7" x14ac:dyDescent="0.25">
      <c r="A67" s="39" t="s">
        <v>48</v>
      </c>
      <c r="B67" s="39" t="s">
        <v>95</v>
      </c>
    </row>
    <row r="68" spans="1:7" x14ac:dyDescent="0.25">
      <c r="A68" s="40">
        <v>1</v>
      </c>
      <c r="B68" s="45">
        <f>(B42-B2)^2</f>
        <v>1712.4676971403023</v>
      </c>
    </row>
    <row r="69" spans="1:7" x14ac:dyDescent="0.25">
      <c r="A69" s="40">
        <v>2</v>
      </c>
      <c r="B69" s="45">
        <f t="shared" ref="B69:B76" si="1">(B43-B3)^2</f>
        <v>332.30001210794302</v>
      </c>
    </row>
    <row r="70" spans="1:7" x14ac:dyDescent="0.25">
      <c r="A70" s="40">
        <v>3</v>
      </c>
      <c r="B70" s="45">
        <f t="shared" si="1"/>
        <v>28416.260543247769</v>
      </c>
    </row>
    <row r="71" spans="1:7" x14ac:dyDescent="0.25">
      <c r="A71" s="40">
        <v>4</v>
      </c>
      <c r="B71" s="45">
        <f t="shared" si="1"/>
        <v>23147.71378003095</v>
      </c>
    </row>
    <row r="72" spans="1:7" x14ac:dyDescent="0.25">
      <c r="A72" s="40">
        <v>5</v>
      </c>
      <c r="B72" s="45">
        <f t="shared" si="1"/>
        <v>1623.9399333559315</v>
      </c>
    </row>
    <row r="73" spans="1:7" x14ac:dyDescent="0.25">
      <c r="A73" s="40">
        <v>6</v>
      </c>
      <c r="B73" s="45">
        <f t="shared" si="1"/>
        <v>4168.061363131972</v>
      </c>
    </row>
    <row r="74" spans="1:7" x14ac:dyDescent="0.25">
      <c r="A74" s="40">
        <v>7</v>
      </c>
      <c r="B74" s="45">
        <f t="shared" si="1"/>
        <v>21785.666176896328</v>
      </c>
    </row>
    <row r="75" spans="1:7" x14ac:dyDescent="0.25">
      <c r="A75" s="40">
        <v>8</v>
      </c>
      <c r="B75" s="45">
        <f t="shared" si="1"/>
        <v>67576.033637633343</v>
      </c>
    </row>
    <row r="76" spans="1:7" x14ac:dyDescent="0.25">
      <c r="A76" s="40">
        <v>9</v>
      </c>
      <c r="B76" s="45">
        <f t="shared" si="1"/>
        <v>225624.56415724795</v>
      </c>
    </row>
    <row r="77" spans="1:7" x14ac:dyDescent="0.25">
      <c r="A77" s="46" t="s">
        <v>8</v>
      </c>
      <c r="B77" s="47">
        <f>SUM(B68:B76)</f>
        <v>374387.00730079249</v>
      </c>
    </row>
    <row r="78" spans="1:7" x14ac:dyDescent="0.25">
      <c r="A78" s="41" t="s">
        <v>96</v>
      </c>
      <c r="B78" s="41"/>
      <c r="C78" s="41"/>
      <c r="D78" s="45">
        <f>B77/(9-2-1)</f>
        <v>62397.83455013208</v>
      </c>
    </row>
    <row r="80" spans="1:7" x14ac:dyDescent="0.25">
      <c r="B80" s="41">
        <v>5.7383040000000003</v>
      </c>
      <c r="D80" s="41">
        <f>$D$78*B80</f>
        <v>358057.74359036115</v>
      </c>
      <c r="G80" s="41">
        <f>SQRT(D80)</f>
        <v>598.37926400432787</v>
      </c>
    </row>
    <row r="81" spans="1:8" x14ac:dyDescent="0.25">
      <c r="A81" s="66" t="s">
        <v>146</v>
      </c>
      <c r="B81" s="41">
        <v>9.1599999999999997E-3</v>
      </c>
      <c r="D81" s="41">
        <f>$D$78*B81</f>
        <v>571.56416447920981</v>
      </c>
      <c r="G81" s="41">
        <f>SQRT(D81)</f>
        <v>23.907408150596538</v>
      </c>
    </row>
    <row r="82" spans="1:8" x14ac:dyDescent="0.25">
      <c r="B82" s="41">
        <v>9.6149999999999999E-2</v>
      </c>
      <c r="D82" s="41">
        <f>$D$78*B82</f>
        <v>5999.5517919951999</v>
      </c>
      <c r="G82" s="41">
        <f>SQRT(D82)</f>
        <v>77.456773699885019</v>
      </c>
    </row>
    <row r="90" spans="1:8" x14ac:dyDescent="0.25">
      <c r="B90" s="57" t="s">
        <v>147</v>
      </c>
      <c r="C90" s="68">
        <f>G32/G81</f>
        <v>11.498064966387361</v>
      </c>
    </row>
    <row r="91" spans="1:8" x14ac:dyDescent="0.25">
      <c r="B91" s="57" t="s">
        <v>148</v>
      </c>
      <c r="C91" s="68">
        <f>G33/G82</f>
        <v>-3.6066764989258067</v>
      </c>
      <c r="D91" s="26" t="s">
        <v>149</v>
      </c>
    </row>
    <row r="92" spans="1:8" x14ac:dyDescent="0.25">
      <c r="B92" s="26" t="s">
        <v>150</v>
      </c>
    </row>
    <row r="93" spans="1:8" x14ac:dyDescent="0.25">
      <c r="B93" s="26" t="s">
        <v>151</v>
      </c>
    </row>
    <row r="95" spans="1:8" x14ac:dyDescent="0.25">
      <c r="A95" s="76" t="s">
        <v>158</v>
      </c>
      <c r="B95" s="76"/>
      <c r="C95" s="76"/>
      <c r="D95" s="76"/>
      <c r="E95" s="76"/>
      <c r="F95" s="76"/>
      <c r="G95" s="76"/>
      <c r="H95" s="76"/>
    </row>
    <row r="99" spans="1:6" x14ac:dyDescent="0.25">
      <c r="A99" s="69" t="s">
        <v>154</v>
      </c>
      <c r="D99" s="69" t="s">
        <v>156</v>
      </c>
    </row>
    <row r="100" spans="1:6" x14ac:dyDescent="0.25">
      <c r="A100" s="41" t="s">
        <v>102</v>
      </c>
      <c r="B100" s="41">
        <v>2.4460000000000002</v>
      </c>
      <c r="D100" s="41" t="s">
        <v>102</v>
      </c>
      <c r="E100" s="41">
        <v>2.4460000000000002</v>
      </c>
    </row>
    <row r="101" spans="1:6" x14ac:dyDescent="0.25">
      <c r="A101" s="46" t="s">
        <v>155</v>
      </c>
      <c r="B101" s="54">
        <f>G81</f>
        <v>23.907408150596538</v>
      </c>
      <c r="D101" s="46" t="s">
        <v>157</v>
      </c>
      <c r="E101" s="54">
        <f>G82</f>
        <v>77.456773699885019</v>
      </c>
    </row>
    <row r="102" spans="1:6" x14ac:dyDescent="0.25">
      <c r="A102" s="41" t="s">
        <v>103</v>
      </c>
      <c r="B102" s="41"/>
      <c r="C102" s="55">
        <f>G32-B100*B101</f>
        <v>216.41141175713858</v>
      </c>
      <c r="D102" s="41" t="s">
        <v>103</v>
      </c>
      <c r="E102" s="41"/>
      <c r="F102" s="55">
        <f>G33-E100*E101</f>
        <v>-468.82079385590862</v>
      </c>
    </row>
    <row r="103" spans="1:6" x14ac:dyDescent="0.25">
      <c r="A103" s="41" t="s">
        <v>104</v>
      </c>
      <c r="B103" s="41"/>
      <c r="C103" s="55">
        <f>G32+B100*B101</f>
        <v>333.36645242985685</v>
      </c>
      <c r="D103" s="41" t="s">
        <v>104</v>
      </c>
      <c r="E103" s="41"/>
      <c r="F103" s="55">
        <f>G33+E100*E101</f>
        <v>-89.902256916071025</v>
      </c>
    </row>
    <row r="105" spans="1:6" x14ac:dyDescent="0.25">
      <c r="A105" s="76" t="s">
        <v>106</v>
      </c>
      <c r="B105" s="76"/>
      <c r="C105" s="76"/>
      <c r="D105" s="76"/>
    </row>
    <row r="106" spans="1:6" x14ac:dyDescent="0.25">
      <c r="A106" s="69" t="s">
        <v>159</v>
      </c>
      <c r="B106" s="69"/>
      <c r="C106" s="69"/>
      <c r="D106" s="69"/>
      <c r="E106" s="70">
        <f>SQRT(D52)</f>
        <v>0.99396060817700904</v>
      </c>
    </row>
    <row r="107" spans="1:6" x14ac:dyDescent="0.25">
      <c r="A107" s="41" t="s">
        <v>87</v>
      </c>
      <c r="B107" s="41" t="s">
        <v>160</v>
      </c>
    </row>
    <row r="108" spans="1:6" x14ac:dyDescent="0.25">
      <c r="A108" s="41" t="s">
        <v>107</v>
      </c>
      <c r="B108" s="56">
        <f>E106</f>
        <v>0.99396060817700904</v>
      </c>
    </row>
    <row r="109" spans="1:6" x14ac:dyDescent="0.25">
      <c r="A109" s="41" t="s">
        <v>108</v>
      </c>
      <c r="B109" s="56">
        <f>SQRT((1-B108*B108)/(9-3))</f>
        <v>4.4800129077920935E-2</v>
      </c>
    </row>
    <row r="110" spans="1:6" x14ac:dyDescent="0.25">
      <c r="A110" s="57" t="s">
        <v>161</v>
      </c>
      <c r="B110" s="58">
        <f>B108/B109</f>
        <v>22.186556794249672</v>
      </c>
      <c r="C110" s="26" t="s">
        <v>149</v>
      </c>
    </row>
    <row r="111" spans="1:6" x14ac:dyDescent="0.25">
      <c r="C111" s="26" t="s">
        <v>162</v>
      </c>
    </row>
    <row r="113" spans="1:9" x14ac:dyDescent="0.25">
      <c r="A113" s="26" t="s">
        <v>111</v>
      </c>
    </row>
    <row r="114" spans="1:9" x14ac:dyDescent="0.25">
      <c r="A114" t="s">
        <v>53</v>
      </c>
      <c r="B114"/>
      <c r="C114"/>
      <c r="D114"/>
      <c r="E114"/>
      <c r="F114"/>
      <c r="G114"/>
      <c r="H114"/>
      <c r="I114"/>
    </row>
    <row r="115" spans="1:9" ht="15.75" thickBot="1" x14ac:dyDescent="0.3">
      <c r="A115"/>
      <c r="B115"/>
      <c r="C115"/>
      <c r="D115"/>
      <c r="E115"/>
      <c r="F115"/>
      <c r="G115"/>
      <c r="H115"/>
      <c r="I115"/>
    </row>
    <row r="116" spans="1:9" x14ac:dyDescent="0.25">
      <c r="A116" s="65" t="s">
        <v>54</v>
      </c>
      <c r="B116" s="65"/>
      <c r="C116"/>
      <c r="D116"/>
      <c r="E116"/>
      <c r="F116"/>
      <c r="G116"/>
      <c r="H116"/>
      <c r="I116"/>
    </row>
    <row r="117" spans="1:9" x14ac:dyDescent="0.25">
      <c r="A117" s="62" t="s">
        <v>55</v>
      </c>
      <c r="B117" s="62">
        <v>0.9939606081769814</v>
      </c>
      <c r="C117"/>
      <c r="D117"/>
      <c r="E117"/>
      <c r="F117"/>
      <c r="G117"/>
      <c r="H117"/>
      <c r="I117"/>
    </row>
    <row r="118" spans="1:9" x14ac:dyDescent="0.25">
      <c r="A118" s="62" t="s">
        <v>56</v>
      </c>
      <c r="B118" s="71">
        <v>0.98795769060755478</v>
      </c>
      <c r="C118" s="31" t="s">
        <v>115</v>
      </c>
      <c r="D118"/>
      <c r="E118"/>
      <c r="F118"/>
      <c r="G118"/>
      <c r="H118"/>
      <c r="I118"/>
    </row>
    <row r="119" spans="1:9" x14ac:dyDescent="0.25">
      <c r="A119" s="62" t="s">
        <v>57</v>
      </c>
      <c r="B119" s="62">
        <v>0.98394358747673971</v>
      </c>
      <c r="C119"/>
      <c r="D119"/>
      <c r="E119"/>
      <c r="F119"/>
      <c r="G119"/>
      <c r="H119"/>
      <c r="I119"/>
    </row>
    <row r="120" spans="1:9" x14ac:dyDescent="0.25">
      <c r="A120" s="62" t="s">
        <v>58</v>
      </c>
      <c r="B120" s="62">
        <v>249.79558552971312</v>
      </c>
      <c r="C120"/>
      <c r="D120"/>
      <c r="E120"/>
      <c r="F120"/>
      <c r="G120"/>
      <c r="H120"/>
      <c r="I120"/>
    </row>
    <row r="121" spans="1:9" ht="15.75" thickBot="1" x14ac:dyDescent="0.3">
      <c r="A121" s="63" t="s">
        <v>59</v>
      </c>
      <c r="B121" s="63">
        <v>9</v>
      </c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ht="15.75" thickBot="1" x14ac:dyDescent="0.3">
      <c r="A123" t="s">
        <v>60</v>
      </c>
      <c r="B123"/>
      <c r="C123"/>
      <c r="D123"/>
      <c r="E123" s="31" t="s">
        <v>115</v>
      </c>
      <c r="F123"/>
      <c r="G123"/>
      <c r="H123"/>
      <c r="I123"/>
    </row>
    <row r="124" spans="1:9" x14ac:dyDescent="0.25">
      <c r="A124" s="64"/>
      <c r="B124" s="64" t="s">
        <v>65</v>
      </c>
      <c r="C124" s="64" t="s">
        <v>66</v>
      </c>
      <c r="D124" s="64" t="s">
        <v>67</v>
      </c>
      <c r="E124" s="64" t="s">
        <v>68</v>
      </c>
      <c r="F124" s="64" t="s">
        <v>69</v>
      </c>
      <c r="G124"/>
      <c r="H124"/>
      <c r="I124"/>
    </row>
    <row r="125" spans="1:9" x14ac:dyDescent="0.25">
      <c r="A125" s="62" t="s">
        <v>61</v>
      </c>
      <c r="B125" s="62">
        <v>2</v>
      </c>
      <c r="C125" s="62">
        <v>30714916.140454751</v>
      </c>
      <c r="D125" s="62">
        <v>15357458.070227375</v>
      </c>
      <c r="E125" s="71">
        <v>246.12165119109625</v>
      </c>
      <c r="F125" s="62">
        <v>1.7463421763225381E-6</v>
      </c>
      <c r="G125"/>
      <c r="H125"/>
      <c r="I125"/>
    </row>
    <row r="126" spans="1:9" x14ac:dyDescent="0.25">
      <c r="A126" s="62" t="s">
        <v>62</v>
      </c>
      <c r="B126" s="62">
        <v>6</v>
      </c>
      <c r="C126" s="62">
        <v>374387.00730079331</v>
      </c>
      <c r="D126" s="62">
        <v>62397.834550132218</v>
      </c>
      <c r="E126" s="62"/>
      <c r="F126" s="62"/>
      <c r="G126"/>
      <c r="H126"/>
      <c r="I126"/>
    </row>
    <row r="127" spans="1:9" ht="15.75" thickBot="1" x14ac:dyDescent="0.3">
      <c r="A127" s="63" t="s">
        <v>63</v>
      </c>
      <c r="B127" s="63">
        <v>8</v>
      </c>
      <c r="C127" s="63">
        <v>31089303.147755545</v>
      </c>
      <c r="D127" s="63"/>
      <c r="E127" s="63"/>
      <c r="F127" s="63"/>
      <c r="G127"/>
      <c r="H127"/>
      <c r="I127"/>
    </row>
    <row r="128" spans="1:9" ht="15.75" thickBot="1" x14ac:dyDescent="0.3">
      <c r="A128"/>
      <c r="B128"/>
      <c r="C128"/>
      <c r="D128"/>
      <c r="E128"/>
      <c r="F128"/>
      <c r="G128"/>
      <c r="H128"/>
      <c r="I128"/>
    </row>
    <row r="129" spans="1:9" x14ac:dyDescent="0.25">
      <c r="A129" s="64"/>
      <c r="B129" s="64" t="s">
        <v>50</v>
      </c>
      <c r="C129" s="64" t="s">
        <v>58</v>
      </c>
      <c r="D129" s="64" t="s">
        <v>70</v>
      </c>
      <c r="E129" s="64" t="s">
        <v>71</v>
      </c>
      <c r="F129" s="64" t="s">
        <v>72</v>
      </c>
      <c r="G129" s="64" t="s">
        <v>73</v>
      </c>
      <c r="H129" s="64" t="s">
        <v>74</v>
      </c>
      <c r="I129" s="64" t="s">
        <v>75</v>
      </c>
    </row>
    <row r="130" spans="1:9" x14ac:dyDescent="0.25">
      <c r="A130" s="62" t="s">
        <v>64</v>
      </c>
      <c r="B130" s="71">
        <v>7010.4027620488905</v>
      </c>
      <c r="C130" s="62">
        <v>598.37926361168206</v>
      </c>
      <c r="D130" s="62">
        <v>11.715651240545474</v>
      </c>
      <c r="E130" s="62">
        <v>2.3329356642078618E-5</v>
      </c>
      <c r="F130" s="62">
        <v>5546.2214504380663</v>
      </c>
      <c r="G130" s="62">
        <v>8474.5840736597147</v>
      </c>
      <c r="H130" s="62">
        <v>5546.2214504380663</v>
      </c>
      <c r="I130" s="62">
        <v>8474.5840736597147</v>
      </c>
    </row>
    <row r="131" spans="1:9" x14ac:dyDescent="0.25">
      <c r="A131" s="62" t="s">
        <v>76</v>
      </c>
      <c r="B131" s="71">
        <v>274.88893209348674</v>
      </c>
      <c r="C131" s="62">
        <v>23.904934537210679</v>
      </c>
      <c r="D131" s="71">
        <v>11.499254752845763</v>
      </c>
      <c r="E131" s="62">
        <v>2.5981767531407135E-5</v>
      </c>
      <c r="F131" s="62">
        <v>216.39566447354125</v>
      </c>
      <c r="G131" s="62">
        <v>333.38219971343221</v>
      </c>
      <c r="H131" s="71">
        <v>216.39566447354125</v>
      </c>
      <c r="I131" s="71">
        <v>333.38219971343221</v>
      </c>
    </row>
    <row r="132" spans="1:9" ht="15.75" thickBot="1" x14ac:dyDescent="0.3">
      <c r="A132" s="63" t="s">
        <v>138</v>
      </c>
      <c r="B132" s="72">
        <v>-279.36152538596923</v>
      </c>
      <c r="C132" s="63">
        <v>77.455209529888549</v>
      </c>
      <c r="D132" s="72">
        <v>-3.6067493339898427</v>
      </c>
      <c r="E132" s="63">
        <v>1.1274814817694503E-2</v>
      </c>
      <c r="F132" s="63">
        <v>-468.88759551757028</v>
      </c>
      <c r="G132" s="63">
        <v>-89.835455254368156</v>
      </c>
      <c r="H132" s="72">
        <v>-468.88759551757028</v>
      </c>
      <c r="I132" s="72">
        <v>-89.835455254368156</v>
      </c>
    </row>
    <row r="133" spans="1:9" x14ac:dyDescent="0.25">
      <c r="A133"/>
      <c r="B133" s="31" t="s">
        <v>115</v>
      </c>
      <c r="C133"/>
      <c r="D133" s="31" t="s">
        <v>115</v>
      </c>
      <c r="E133"/>
      <c r="F133"/>
      <c r="G133"/>
      <c r="H133" s="31" t="s">
        <v>115</v>
      </c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</sheetData>
  <sortState ref="A2:C10">
    <sortCondition ref="C2"/>
  </sortState>
  <mergeCells count="9">
    <mergeCell ref="A12:O12"/>
    <mergeCell ref="A37:B38"/>
    <mergeCell ref="A52:C52"/>
    <mergeCell ref="A51:B51"/>
    <mergeCell ref="A105:D105"/>
    <mergeCell ref="A55:G55"/>
    <mergeCell ref="B56:C56"/>
    <mergeCell ref="A63:G63"/>
    <mergeCell ref="A95:H9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Задания 1-6</vt:lpstr>
      <vt:lpstr>Задание 7</vt:lpstr>
      <vt:lpstr>Задание 8</vt:lpstr>
      <vt:lpstr>Задание 9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2017-06-25T06:15:30Z</dcterms:modified>
</cp:coreProperties>
</file>